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5 Sale commission\03 ตั้งเบิก Sales Commission\รอบ 01-2568\"/>
    </mc:Choice>
  </mc:AlternateContent>
  <xr:revisionPtr revIDLastSave="0" documentId="13_ncr:1_{C0E9C3D9-6C26-4FD5-9E23-E44462EC2AD5}" xr6:coauthVersionLast="47" xr6:coauthVersionMax="47" xr10:uidLastSave="{00000000-0000-0000-0000-000000000000}"/>
  <bookViews>
    <workbookView xWindow="28680" yWindow="-120" windowWidth="29040" windowHeight="15720" activeTab="1" xr2:uid="{195A0F0A-E35C-4AD4-8EE8-0CFEA0DC919D}"/>
  </bookViews>
  <sheets>
    <sheet name="Ref" sheetId="6" r:id="rId1"/>
    <sheet name="ตั้งเบิกคอมฯ  CN" sheetId="1" r:id="rId2"/>
    <sheet name="สรุปยอดเบิก CN" sheetId="5"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'ตั้งเบิกคอมฯ  CN'!#REF!</definedName>
    <definedName name="_xlnm.Print_Area" localSheetId="3">'คอมฯ CBN'!$A$1:$U$30</definedName>
    <definedName name="_xlnm.Print_Area" localSheetId="1">'ตั้งเบิกคอมฯ  CN'!$A$1:$AL$62</definedName>
    <definedName name="_xlnm.Print_Area" localSheetId="4">'สรุปยอดเบิก CBN'!$A$1:$M$58</definedName>
    <definedName name="_xlnm.Print_Area" localSheetId="2">'สรุปยอดเบิก CN'!$A$1:$L$79</definedName>
    <definedName name="_xlnm.Print_Titles" localSheetId="3">'คอมฯ CBN'!$5:$5</definedName>
    <definedName name="_xlnm.Print_Titles" localSheetId="1">'ตั้งเบิกคอมฯ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55" i="1" l="1"/>
  <c r="AG55" i="1" s="1"/>
  <c r="AH55" i="1" s="1"/>
  <c r="W55" i="1"/>
  <c r="X55" i="1" s="1"/>
  <c r="Z55" i="1" s="1"/>
  <c r="O55" i="1"/>
  <c r="L55" i="1"/>
  <c r="M55" i="1" s="1"/>
  <c r="N55" i="1" s="1"/>
  <c r="AF51" i="1"/>
  <c r="AG51" i="1" s="1"/>
  <c r="AH51" i="1" s="1"/>
  <c r="W51" i="1"/>
  <c r="X51" i="1" s="1"/>
  <c r="Z51" i="1" s="1"/>
  <c r="O51" i="1"/>
  <c r="L51" i="1"/>
  <c r="M51" i="1" s="1"/>
  <c r="N51" i="1" s="1"/>
  <c r="AF47" i="1"/>
  <c r="AG47" i="1" s="1"/>
  <c r="AH47" i="1" s="1"/>
  <c r="W47" i="1"/>
  <c r="X47" i="1" s="1"/>
  <c r="Z47" i="1" s="1"/>
  <c r="O47" i="1"/>
  <c r="L47" i="1"/>
  <c r="M47" i="1" s="1"/>
  <c r="N47" i="1" s="1"/>
  <c r="AF43" i="1"/>
  <c r="AG43" i="1" s="1"/>
  <c r="AH43" i="1" s="1"/>
  <c r="W43" i="1"/>
  <c r="X43" i="1" s="1"/>
  <c r="Z43" i="1" s="1"/>
  <c r="O43" i="1"/>
  <c r="L43" i="1"/>
  <c r="M43" i="1" s="1"/>
  <c r="N43" i="1" s="1"/>
  <c r="AF39" i="1"/>
  <c r="AG39" i="1" s="1"/>
  <c r="AH39" i="1" s="1"/>
  <c r="W39" i="1"/>
  <c r="X39" i="1" s="1"/>
  <c r="Z39" i="1" s="1"/>
  <c r="O39" i="1"/>
  <c r="L39" i="1"/>
  <c r="M39" i="1" s="1"/>
  <c r="N39" i="1" s="1"/>
  <c r="O35" i="1"/>
  <c r="F9" i="5"/>
  <c r="F12" i="5"/>
  <c r="F13" i="5"/>
  <c r="F14" i="5"/>
  <c r="N15" i="5"/>
  <c r="M15" i="5"/>
  <c r="M5" i="5"/>
  <c r="AR12" i="1"/>
  <c r="AQ12" i="1"/>
  <c r="AR11" i="1"/>
  <c r="AQ11" i="1"/>
  <c r="E18" i="5"/>
  <c r="G18" i="5"/>
  <c r="Z56" i="1" l="1"/>
  <c r="AB55" i="1"/>
  <c r="AA55" i="1"/>
  <c r="AC55" i="1" s="1"/>
  <c r="AI55" i="1" s="1"/>
  <c r="AA51" i="1"/>
  <c r="AC51" i="1" s="1"/>
  <c r="AI51" i="1" s="1"/>
  <c r="Z52" i="1"/>
  <c r="AB51" i="1"/>
  <c r="AB47" i="1"/>
  <c r="AA47" i="1"/>
  <c r="AC47" i="1" s="1"/>
  <c r="AI47" i="1" s="1"/>
  <c r="Z48" i="1"/>
  <c r="Z44" i="1"/>
  <c r="AB43" i="1"/>
  <c r="AA43" i="1"/>
  <c r="AC43" i="1" s="1"/>
  <c r="AI43" i="1" s="1"/>
  <c r="AB39" i="1"/>
  <c r="AA39" i="1"/>
  <c r="AC39" i="1" s="1"/>
  <c r="AI39" i="1" s="1"/>
  <c r="Z40" i="1"/>
  <c r="H18" i="5"/>
  <c r="AF7" i="1" l="1"/>
  <c r="AG7" i="1" s="1"/>
  <c r="AF11" i="1"/>
  <c r="AG11" i="1" s="1"/>
  <c r="AH11" i="1" s="1"/>
  <c r="AF15" i="1"/>
  <c r="AG15" i="1" s="1"/>
  <c r="AH15" i="1" s="1"/>
  <c r="AF19" i="1"/>
  <c r="AG19" i="1" s="1"/>
  <c r="AH19" i="1" s="1"/>
  <c r="AF23" i="1"/>
  <c r="AG23" i="1" s="1"/>
  <c r="AH23" i="1" s="1"/>
  <c r="AF27" i="1"/>
  <c r="AG27" i="1" s="1"/>
  <c r="AH27" i="1" s="1"/>
  <c r="AF31" i="1"/>
  <c r="AG31" i="1" s="1"/>
  <c r="AH31" i="1" s="1"/>
  <c r="AF35" i="1"/>
  <c r="AG35" i="1" s="1"/>
  <c r="AH35" i="1" s="1"/>
  <c r="Y59" i="1"/>
  <c r="W7" i="1"/>
  <c r="X7" i="1" s="1"/>
  <c r="Z7" i="1" s="1"/>
  <c r="W11" i="1"/>
  <c r="X11" i="1" s="1"/>
  <c r="Z11" i="1" s="1"/>
  <c r="W15" i="1"/>
  <c r="X15" i="1" s="1"/>
  <c r="Z15" i="1" s="1"/>
  <c r="W19" i="1"/>
  <c r="X19" i="1" s="1"/>
  <c r="Z19" i="1" s="1"/>
  <c r="W23" i="1"/>
  <c r="X23" i="1" s="1"/>
  <c r="Z23" i="1" s="1"/>
  <c r="W27" i="1"/>
  <c r="X27" i="1" s="1"/>
  <c r="Z27" i="1" s="1"/>
  <c r="W31" i="1"/>
  <c r="X31" i="1" s="1"/>
  <c r="Z31" i="1" s="1"/>
  <c r="W35" i="1"/>
  <c r="X35" i="1" s="1"/>
  <c r="Z35" i="1" s="1"/>
  <c r="U59" i="1"/>
  <c r="F17" i="5"/>
  <c r="F16" i="5"/>
  <c r="F10" i="5"/>
  <c r="F6" i="5"/>
  <c r="D64" i="1"/>
  <c r="L7" i="1"/>
  <c r="M7" i="1" s="1"/>
  <c r="N7" i="1" s="1"/>
  <c r="L11" i="1"/>
  <c r="M11" i="1" s="1"/>
  <c r="N11" i="1" s="1"/>
  <c r="L15" i="1"/>
  <c r="M15" i="1" s="1"/>
  <c r="N15" i="1" s="1"/>
  <c r="L19" i="1"/>
  <c r="M19" i="1" s="1"/>
  <c r="N19" i="1" s="1"/>
  <c r="F5" i="5" s="1"/>
  <c r="L23" i="1"/>
  <c r="M23" i="1" s="1"/>
  <c r="N23" i="1" s="1"/>
  <c r="O23" i="1"/>
  <c r="L27" i="1"/>
  <c r="M27" i="1" s="1"/>
  <c r="N27" i="1" s="1"/>
  <c r="O27" i="1"/>
  <c r="L31" i="1"/>
  <c r="M31" i="1" s="1"/>
  <c r="N31" i="1" s="1"/>
  <c r="O31" i="1"/>
  <c r="L35" i="1"/>
  <c r="M35" i="1" s="1"/>
  <c r="N35" i="1" s="1"/>
  <c r="F8" i="5"/>
  <c r="E7" i="5"/>
  <c r="F7" i="5"/>
  <c r="Q27" i="1" l="1"/>
  <c r="P27" i="1"/>
  <c r="AI27" i="1" s="1"/>
  <c r="E5" i="5"/>
  <c r="F11" i="5"/>
  <c r="Z59" i="1"/>
  <c r="AH7" i="1"/>
  <c r="AH59" i="1" s="1"/>
  <c r="AG59" i="1"/>
  <c r="X59" i="1"/>
  <c r="AA35" i="1"/>
  <c r="AB35" i="1"/>
  <c r="AA7" i="1"/>
  <c r="AB7" i="1"/>
  <c r="AB27" i="1"/>
  <c r="AA27" i="1"/>
  <c r="Z28" i="1"/>
  <c r="AA19" i="1"/>
  <c r="AB19" i="1"/>
  <c r="Z20" i="1"/>
  <c r="Z12" i="1"/>
  <c r="AA11" i="1"/>
  <c r="AB11" i="1"/>
  <c r="AA31" i="1"/>
  <c r="AB31" i="1"/>
  <c r="Z32" i="1"/>
  <c r="Z24" i="1"/>
  <c r="AA23" i="1"/>
  <c r="AB23" i="1"/>
  <c r="AA15" i="1"/>
  <c r="AB15" i="1"/>
  <c r="W59" i="1"/>
  <c r="L59" i="1"/>
  <c r="N59" i="1"/>
  <c r="Z36" i="1"/>
  <c r="Z8" i="1"/>
  <c r="Z16" i="1"/>
  <c r="M59" i="1"/>
  <c r="AC15" i="1" l="1"/>
  <c r="AI15" i="1" s="1"/>
  <c r="AC31" i="1"/>
  <c r="AI31" i="1" s="1"/>
  <c r="AC35" i="1"/>
  <c r="AI35" i="1" s="1"/>
  <c r="AC7" i="1"/>
  <c r="AI7" i="1" s="1"/>
  <c r="AC19" i="1"/>
  <c r="AI19" i="1" s="1"/>
  <c r="AC11" i="1"/>
  <c r="AI11" i="1" s="1"/>
  <c r="AB59" i="1"/>
  <c r="AC23" i="1"/>
  <c r="AI23" i="1" s="1"/>
  <c r="AC27" i="1"/>
  <c r="AI59" i="1" l="1"/>
  <c r="AA59" i="1"/>
  <c r="N5" i="5" l="1"/>
  <c r="F46" i="5" l="1"/>
  <c r="F45" i="5"/>
  <c r="F44" i="5"/>
  <c r="F41" i="5"/>
  <c r="F40" i="5"/>
  <c r="F38" i="5"/>
  <c r="F34" i="5"/>
  <c r="F31" i="5"/>
  <c r="F30" i="5"/>
  <c r="F27" i="5"/>
  <c r="F26" i="5"/>
  <c r="F24" i="5"/>
  <c r="E24" i="5"/>
  <c r="E23" i="5"/>
  <c r="E22" i="5"/>
  <c r="E21" i="5"/>
  <c r="E20" i="5"/>
  <c r="F20" i="5"/>
  <c r="E46" i="5" l="1"/>
  <c r="E45" i="5"/>
  <c r="E44" i="5"/>
  <c r="E41" i="5"/>
  <c r="E40" i="5"/>
  <c r="E38" i="5"/>
  <c r="E34" i="5"/>
  <c r="H38" i="5"/>
  <c r="H40" i="5"/>
  <c r="H41" i="5"/>
  <c r="H44" i="5"/>
  <c r="H45" i="5"/>
  <c r="H46" i="5"/>
  <c r="E32" i="5"/>
  <c r="E30" i="5"/>
  <c r="E29" i="5"/>
  <c r="E28" i="5"/>
  <c r="E26" i="5"/>
  <c r="E25" i="5"/>
  <c r="E19" i="5"/>
  <c r="E31" i="5"/>
  <c r="E27" i="5"/>
  <c r="H20" i="5"/>
  <c r="H24" i="5"/>
  <c r="H26" i="5"/>
  <c r="H27" i="5"/>
  <c r="H30" i="5"/>
  <c r="H31" i="5"/>
  <c r="H32" i="5"/>
  <c r="E17" i="5"/>
  <c r="E16" i="5"/>
  <c r="E15" i="5"/>
  <c r="E14" i="5"/>
  <c r="E13" i="5"/>
  <c r="E12" i="5"/>
  <c r="E11" i="5"/>
  <c r="E10" i="5"/>
  <c r="E8" i="5"/>
  <c r="E6" i="5"/>
  <c r="G7" i="5"/>
  <c r="G8" i="5"/>
  <c r="G9" i="5"/>
  <c r="G10" i="5"/>
  <c r="H10" i="5" s="1"/>
  <c r="G11" i="5"/>
  <c r="G13" i="5"/>
  <c r="G14" i="5"/>
  <c r="G15" i="5"/>
  <c r="G98" i="5" l="1"/>
  <c r="E58" i="5" s="1"/>
  <c r="G58" i="5" s="1"/>
  <c r="I58" i="5" s="1"/>
  <c r="H14" i="5"/>
  <c r="H8" i="5"/>
  <c r="G12" i="5"/>
  <c r="H12" i="5" s="1"/>
  <c r="G100" i="5" s="1"/>
  <c r="E60" i="5" s="1"/>
  <c r="G60" i="5" s="1"/>
  <c r="I60" i="5" s="1"/>
  <c r="H15" i="5"/>
  <c r="H13" i="5"/>
  <c r="G101" i="5" s="1"/>
  <c r="E61" i="5" s="1"/>
  <c r="G61" i="5" s="1"/>
  <c r="I61" i="5" s="1"/>
  <c r="H11" i="5"/>
  <c r="H9" i="5"/>
  <c r="H7" i="5"/>
  <c r="E35" i="5"/>
  <c r="F39" i="5" l="1"/>
  <c r="H39" i="5" s="1"/>
  <c r="E39" i="5"/>
  <c r="F37" i="5"/>
  <c r="H37" i="5" s="1"/>
  <c r="E37" i="5"/>
  <c r="F36" i="5"/>
  <c r="H36" i="5" s="1"/>
  <c r="E36" i="5"/>
  <c r="F43" i="5"/>
  <c r="H43" i="5" s="1"/>
  <c r="E43" i="5"/>
  <c r="F33" i="5"/>
  <c r="E33" i="5"/>
  <c r="E42" i="5"/>
  <c r="F42" i="5"/>
  <c r="H42" i="5" s="1"/>
  <c r="F25" i="5" l="1"/>
  <c r="H25" i="5" s="1"/>
  <c r="G99" i="5" s="1"/>
  <c r="E59" i="5" s="1"/>
  <c r="G59" i="5" s="1"/>
  <c r="I59" i="5" s="1"/>
  <c r="F22" i="5"/>
  <c r="H22" i="5" s="1"/>
  <c r="G96" i="5" s="1"/>
  <c r="E56" i="5" s="1"/>
  <c r="G56" i="5" s="1"/>
  <c r="I56" i="5" s="1"/>
  <c r="F21" i="5"/>
  <c r="H21" i="5" s="1"/>
  <c r="F28" i="5"/>
  <c r="H28" i="5" s="1"/>
  <c r="G103" i="5" s="1"/>
  <c r="E63" i="5" s="1"/>
  <c r="G63" i="5" s="1"/>
  <c r="I63" i="5" s="1"/>
  <c r="G72" i="3"/>
  <c r="E45" i="3" s="1"/>
  <c r="F30" i="3"/>
  <c r="G30" i="3" s="1"/>
  <c r="E30" i="3"/>
  <c r="F22" i="3"/>
  <c r="F20" i="3"/>
  <c r="F21" i="3"/>
  <c r="G21" i="3" s="1"/>
  <c r="E21" i="3"/>
  <c r="F12" i="3"/>
  <c r="E12" i="3"/>
  <c r="F29" i="5" l="1"/>
  <c r="H29" i="5" s="1"/>
  <c r="G102" i="5" s="1"/>
  <c r="E62" i="5" s="1"/>
  <c r="G62" i="5" s="1"/>
  <c r="I62" i="5" s="1"/>
  <c r="F19" i="5"/>
  <c r="H23" i="5"/>
  <c r="G97" i="5" s="1"/>
  <c r="E57" i="5" s="1"/>
  <c r="G57" i="5" s="1"/>
  <c r="I57"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35" i="5"/>
  <c r="H35" i="5" s="1"/>
  <c r="G95" i="5" s="1"/>
  <c r="E55" i="5" s="1"/>
  <c r="G55" i="5" s="1"/>
  <c r="I55"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17" i="5"/>
  <c r="H17" i="5" s="1"/>
  <c r="G104" i="5" s="1"/>
  <c r="E64" i="5" s="1"/>
  <c r="G64" i="5" s="1"/>
  <c r="I64" i="5" s="1"/>
  <c r="G106" i="5" l="1"/>
  <c r="E66" i="5" s="1"/>
  <c r="G66" i="5" s="1"/>
  <c r="I66" i="5" s="1"/>
  <c r="AJ59" i="1"/>
  <c r="AL59" i="1"/>
  <c r="AK59" i="1"/>
  <c r="S30" i="2"/>
  <c r="T30" i="2"/>
  <c r="H6" i="5" l="1"/>
  <c r="G16" i="5" l="1"/>
  <c r="H16" i="5" s="1"/>
  <c r="G105" i="5" s="1"/>
  <c r="E65" i="5" s="1"/>
  <c r="G65" i="5" s="1"/>
  <c r="I65" i="5" s="1"/>
  <c r="G8" i="3"/>
  <c r="H8" i="3" s="1"/>
  <c r="G13" i="3"/>
  <c r="H13" i="3" s="1"/>
  <c r="H50" i="3" l="1"/>
  <c r="M15" i="2" l="1"/>
  <c r="L15" i="2"/>
  <c r="M6" i="2"/>
  <c r="L6" i="2"/>
  <c r="N15" i="2" l="1"/>
  <c r="N6" i="2"/>
  <c r="R6" i="2"/>
  <c r="F19" i="3"/>
  <c r="F18" i="3"/>
  <c r="R15" i="2"/>
  <c r="F15" i="3"/>
  <c r="H33" i="5"/>
  <c r="L30" i="2"/>
  <c r="M30" i="2"/>
  <c r="H34" i="5"/>
  <c r="G94" i="5" s="1"/>
  <c r="E54"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C59" i="1"/>
  <c r="G70" i="3" l="1"/>
  <c r="E43" i="3" s="1"/>
  <c r="G43" i="3" s="1"/>
  <c r="I43" i="3" s="1"/>
  <c r="J43" i="3" s="1"/>
  <c r="K43" i="3" s="1"/>
  <c r="E47" i="5" l="1"/>
  <c r="G5" i="5" l="1"/>
  <c r="H5" i="5" s="1"/>
  <c r="G54" i="5" l="1"/>
  <c r="I54"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47" i="5"/>
  <c r="I38" i="3"/>
  <c r="G41" i="3"/>
  <c r="I41" i="3" s="1"/>
  <c r="J41" i="3" s="1"/>
  <c r="K41" i="3" s="1"/>
  <c r="G77" i="3" l="1"/>
  <c r="J38" i="3"/>
  <c r="F47" i="5"/>
  <c r="G47" i="3"/>
  <c r="H19" i="5"/>
  <c r="G93" i="5" l="1"/>
  <c r="E53" i="5" s="1"/>
  <c r="H47" i="5"/>
  <c r="K38" i="3"/>
  <c r="I47" i="3"/>
  <c r="G50" i="3"/>
  <c r="G109" i="5" l="1"/>
  <c r="E69" i="5" s="1"/>
  <c r="G69" i="5" s="1"/>
  <c r="I69" i="5" s="1"/>
  <c r="G108" i="5"/>
  <c r="E68" i="5" s="1"/>
  <c r="G68" i="5" s="1"/>
  <c r="I68" i="5" s="1"/>
  <c r="G107" i="5"/>
  <c r="E67" i="5" s="1"/>
  <c r="G67" i="5" s="1"/>
  <c r="I67" i="5" s="1"/>
  <c r="J47" i="3"/>
  <c r="J50" i="3" s="1"/>
  <c r="I50" i="3"/>
  <c r="G53" i="5"/>
  <c r="I53" i="5" s="1"/>
  <c r="K47" i="3" l="1"/>
  <c r="G110" i="5"/>
  <c r="K50" i="3" l="1"/>
  <c r="E70" i="5"/>
  <c r="I70" i="5" l="1"/>
  <c r="G70" i="5"/>
</calcChain>
</file>

<file path=xl/sharedStrings.xml><?xml version="1.0" encoding="utf-8"?>
<sst xmlns="http://schemas.openxmlformats.org/spreadsheetml/2006/main" count="664" uniqueCount="268">
  <si>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</si>
  <si>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</si>
  <si>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</si>
  <si>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</si>
  <si>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</si>
  <si>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</si>
  <si>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</si>
  <si>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</si>
  <si>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</si>
  <si>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</si>
  <si>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</si>
  <si>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</si>
  <si>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</si>
  <si>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</si>
  <si>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</si>
  <si>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</si>
  <si>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</si>
  <si>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</si>
  <si>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</si>
  <si>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</si>
  <si>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</si>
  <si>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</si>
  <si>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</si>
  <si>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</si>
  <si>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</si>
  <si>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</si>
  <si>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</si>
  <si>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</si>
  <si>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</si>
  <si>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</si>
  <si>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</si>
  <si>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</si>
  <si>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</si>
  <si>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</si>
  <si>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</si>
  <si>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</si>
  <si>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</si>
  <si>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</si>
  <si>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</si>
  <si>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</si>
  <si>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</si>
  <si>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</si>
  <si>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</si>
  <si>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</si>
  <si>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</si>
  <si>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</si>
  <si>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</si>
  <si>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</si>
  <si>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</si>
  <si>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</si>
  <si>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</si>
  <si>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</si>
  <si>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</si>
  <si>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</si>
  <si>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</si>
  <si>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</si>
  <si>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</si>
  <si>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</si>
  <si>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</si>
  <si>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</si>
  <si>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</si>
  <si>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</si>
  <si>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</si>
  <si>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</si>
  <si>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</si>
  <si>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</si>
  <si>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</si>
  <si>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</si>
  <si>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</si>
  <si>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</si>
  <si>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</si>
  <si>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</si>
  <si>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</si>
  <si>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</si>
  <si>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</si>
  <si>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</si>
  <si>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</si>
  <si>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</si>
  <si>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</si>
  <si>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</si>
  <si>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</si>
  <si>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</si>
  <si>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</si>
  <si>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</si>
  <si>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</si>
  <si>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</si>
  <si>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</si>
  <si>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</si>
  <si>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</si>
  <si>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</si>
  <si>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</si>
  <si>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</si>
  <si>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</si>
  <si>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</si>
  <si>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</si>
  <si>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</si>
  <si>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</si>
  <si>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</si>
  <si>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</si>
  <si>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</si>
  <si>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</si>
  <si>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</si>
  <si>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</si>
  <si>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</si>
  <si>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</si>
  <si>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</si>
  <si>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</si>
  <si>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</si>
  <si>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</si>
  <si>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</si>
  <si>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</si>
  <si>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</si>
  <si>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</si>
  <si>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</si>
  <si>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</si>
  <si>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</si>
  <si>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</si>
  <si>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</si>
  <si>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</si>
  <si>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</si>
  <si>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</si>
  <si>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</si>
  <si>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</si>
  <si>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</si>
  <si>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</si>
  <si>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</si>
  <si>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</si>
  <si>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</si>
  <si>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</si>
  <si>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</si>
  <si>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</si>
  <si>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</si>
  <si>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</si>
  <si>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</si>
  <si>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</si>
  <si>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</si>
  <si>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</si>
  <si>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กรณีมีต้นทุน</t>
  </si>
  <si>
    <t>คอมฯ
 5%</t>
  </si>
  <si>
    <t>คอมฯ
10%</t>
  </si>
  <si>
    <t>กรณีไม่มีต้นทุน</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</si>
  <si>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</si>
  <si>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</si>
  <si>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</si>
  <si>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</si>
  <si>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</si>
  <si>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</si>
  <si>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</si>
  <si>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</si>
  <si>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</si>
  <si>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</si>
  <si>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</si>
  <si>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</si>
  <si>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</si>
  <si>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</si>
  <si>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</si>
  <si>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</si>
  <si>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</si>
  <si>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</si>
  <si>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</si>
  <si>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</si>
  <si>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</si>
  <si>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</si>
  <si>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</si>
  <si>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</si>
  <si>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</si>
  <si>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</si>
  <si>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051-2-22877-6</t>
  </si>
  <si>
    <t>สั่งจ่าย</t>
  </si>
  <si>
    <t>ปีที่ 1</t>
  </si>
  <si>
    <t>ปีที่ 2</t>
  </si>
  <si>
    <t>ปีที่ 3</t>
  </si>
  <si>
    <t>ปีที่ 4</t>
  </si>
  <si>
    <t>ปีที่ 5</t>
  </si>
  <si>
    <t>ระยะเวลาสัญญา
(เดือน)</t>
  </si>
  <si>
    <t>SKIVL-2410-0052</t>
  </si>
  <si>
    <t>SKSP-2411-0042</t>
  </si>
  <si>
    <t>SK</t>
  </si>
  <si>
    <t>ประจำเดือน มกราคม</t>
  </si>
  <si>
    <t>บริษัท เทพเทวีเพลซ จำกัด</t>
  </si>
  <si>
    <t>โครงการ อาคารคุณแอน</t>
  </si>
  <si>
    <t>บริษัท เดอะ คอนเนคชั่น เพลส จำกัด</t>
  </si>
  <si>
    <t>โครงการ Your Space</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</si>
  <si>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</si>
  <si>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</si>
  <si>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</si>
  <si>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</si>
  <si>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</si>
  <si>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</si>
  <si>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</si>
  <si>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</si>
  <si>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</si>
  <si>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</si>
  <si>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</si>
  <si>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</si>
  <si>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</si>
  <si>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</si>
  <si>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</si>
  <si>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</si>
  <si>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</si>
  <si>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</si>
  <si>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</si>
  <si>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</si>
  <si>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</si>
  <si>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</si>
  <si>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</si>
  <si>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</si>
  <si>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</si>
  <si>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</si>
  <si>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</si>
  <si>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</si>
  <si>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</si>
  <si>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ON</t>
  </si>
  <si>
    <t>SKIVL-2411-0052</t>
  </si>
  <si>
    <t>SKSP-2411-0043</t>
  </si>
  <si>
    <t>ONSP-2412-0044</t>
  </si>
  <si>
    <t>ค่าบริการต่อเดือน</t>
  </si>
  <si>
    <t>ค่าเชื่อม/ติดตั้งต่อเดือน</t>
  </si>
  <si>
    <t>Recheck ยอด 10/2567</t>
  </si>
  <si>
    <t>ยอดนี้บริษัทฯไม่จ่าย</t>
  </si>
  <si>
    <t>Cable HLS to UDP</t>
  </si>
  <si>
    <t>Cable HLS to RF</t>
  </si>
  <si>
    <t>ค่าบริการ</t>
  </si>
  <si>
    <t>% ค่าคอมค่าบริการ
(อัตราก้าวหน้า)</t>
  </si>
  <si>
    <t>รายงานสรุปค่าคอมมิชชั่นจากการติดตั้งประจำปี 2568</t>
  </si>
  <si>
    <t>บริษัท อิตัลมาร์ อินเตอร์เทรด จำกัด</t>
  </si>
  <si>
    <t>โครงการ Lumen Hotel Sukhumvit</t>
  </si>
  <si>
    <t>โครงการ Siam Kempinski Hotel Bangkok</t>
  </si>
  <si>
    <t>KEMPIN SIAM CO.,LTD.</t>
  </si>
  <si>
    <t>(ช่องรายการเสริม)</t>
  </si>
  <si>
    <t>LKIVL-2412-0060</t>
  </si>
  <si>
    <t>LK</t>
  </si>
  <si>
    <t>ONIVL-2412-0066</t>
  </si>
  <si>
    <t>ONIVL-2412-0065</t>
  </si>
  <si>
    <t xml:space="preserve">ต้นทุน=(Occupency rate 40% of 397 Room)
158 ห้อง*69= 10,902 บาท/เดือน (ต้นทุน)
</t>
  </si>
  <si>
    <t>ONSP-2501-0100</t>
  </si>
  <si>
    <t>LKSP-2501-0047</t>
  </si>
  <si>
    <t>คุณจันทราภรณ์ 70%/ คุณพัชรพรรณ 30%</t>
  </si>
  <si>
    <t>พัชรพรรณ</t>
  </si>
  <si>
    <t>จันทราภรณ์</t>
  </si>
  <si>
    <t>ค่าติดตั้ง</t>
  </si>
  <si>
    <t>ยอดค่าคอม</t>
  </si>
  <si>
    <t>NOTE</t>
  </si>
  <si>
    <t>บริษัท โกลเด้นแอสเซ็ท จำกัด</t>
  </si>
  <si>
    <t>โครงการ The win Tower Hotel</t>
  </si>
  <si>
    <t>บริษัท บางกอกโฮม แอนด์ สปา จำกัด</t>
  </si>
  <si>
    <t>โครงการ ราชปรารภเพลส อพาร์ทเม้นท์</t>
  </si>
  <si>
    <t>LKIVL-2411-0002</t>
  </si>
  <si>
    <t>LKSP-2501-0046</t>
  </si>
  <si>
    <t>LKIVL-2411-0001</t>
  </si>
  <si>
    <t>RNIVL-2412-0058</t>
  </si>
  <si>
    <t>RNSP-2501-0052</t>
  </si>
  <si>
    <t>RN</t>
  </si>
  <si>
    <t>บริษัท เลอ บอนเฮอร์ จำกัด</t>
  </si>
  <si>
    <t>โครงการ อาคารขายเหมาสะพานควาย</t>
  </si>
  <si>
    <t>ส่งเอกสารตัวจริง</t>
  </si>
  <si>
    <t>Column1</t>
  </si>
  <si>
    <t>ปีที่1</t>
  </si>
  <si>
    <t>ปีที่2</t>
  </si>
  <si>
    <t>ปีที่3</t>
  </si>
  <si>
    <t>ปีที่4</t>
  </si>
  <si>
    <t>ปีที่5</t>
  </si>
  <si>
    <t>จ่าย 1/2025</t>
  </si>
  <si>
    <t>จ่าย 11/2025</t>
  </si>
  <si>
    <t>สรุปรายการเบิกค่าคอมมิชชั่น ประจำเดือน มกราคม 2568</t>
  </si>
  <si>
    <t>เงื่อนไขเดิม</t>
  </si>
  <si>
    <t>ONIVL-2411-0001</t>
  </si>
  <si>
    <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</si>
</sst>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3">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rgb="FF0000FF"/>
      <name val="Tahoma"/>
      <family val="2"/>
    </font>
    <font>
      <sz val="11"/>
      <color rgb="FF0000FF"/>
      <name val="Arial"/>
      <family val="2"/>
    </font>
    <font>
      <sz val="12"/>
      <color rgb="FF0000FF"/>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4"/>
      <color indexed="10"/>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b/>
      <sz val="11"/>
      <color rgb="FF0000FF"/>
      <name val="Tahoma"/>
      <family val="2"/>
    </font>
    <font>
      <sz val="10"/>
      <name val="Tahoma"/>
      <family val="2"/>
    </font>
    <font>
      <b/>
      <sz val="10"/>
      <name val="Tahoma"/>
      <family val="2"/>
    </font>
  </fonts>
  <fills count="39">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8"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DE9F4"/>
        <bgColor indexed="64"/>
      </patternFill>
    </fill>
  </fills>
  <borders count="127">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indexed="64"/>
      </right>
      <top style="thin">
        <color indexed="64"/>
      </top>
      <bottom style="double">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48">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2"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3"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6"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6" borderId="46" xfId="0" applyFill="1" applyBorder="1"/>
    <xf numFmtId="0" fontId="42" fillId="16" borderId="70"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6" fillId="29"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60" fillId="0" borderId="46" xfId="10" applyNumberFormat="1" applyFont="1" applyBorder="1" applyAlignment="1"/>
    <xf numFmtId="49" fontId="61" fillId="0" borderId="46" xfId="10" applyNumberFormat="1" applyFont="1" applyBorder="1" applyAlignment="1"/>
    <xf numFmtId="0" fontId="60" fillId="0" borderId="46" xfId="10" applyFont="1" applyBorder="1" applyAlignment="1"/>
    <xf numFmtId="164" fontId="61" fillId="0" borderId="46" xfId="10" applyNumberFormat="1" applyFont="1" applyBorder="1" applyAlignment="1"/>
    <xf numFmtId="0" fontId="22" fillId="24" borderId="46" xfId="10" applyFont="1" applyFill="1" applyBorder="1" applyAlignment="1">
      <alignment vertical="center"/>
    </xf>
    <xf numFmtId="0" fontId="22" fillId="24" borderId="46" xfId="10" applyFont="1" applyFill="1" applyBorder="1" applyAlignment="1">
      <alignment horizontal="center" vertical="center"/>
    </xf>
    <xf numFmtId="0" fontId="22" fillId="30"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0" fontId="8" fillId="11" borderId="0" xfId="10" applyFont="1" applyFill="1" applyBorder="1" applyAlignment="1"/>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164" fontId="26" fillId="11" borderId="0" xfId="10" applyNumberFormat="1" applyFont="1" applyFill="1" applyAlignment="1"/>
    <xf numFmtId="0" fontId="22" fillId="32"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9"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8"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7" xfId="1" applyFont="1" applyFill="1" applyBorder="1" applyAlignment="1">
      <alignment horizontal="center"/>
    </xf>
    <xf numFmtId="43" fontId="45" fillId="0" borderId="69" xfId="1" applyFont="1" applyFill="1" applyBorder="1" applyAlignment="1">
      <alignment horizontal="center"/>
    </xf>
    <xf numFmtId="43" fontId="46" fillId="0" borderId="77"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3" borderId="65" xfId="1" applyFont="1" applyFill="1" applyBorder="1" applyAlignment="1" applyProtection="1">
      <alignment horizontal="center" vertical="center" shrinkToFit="1"/>
      <protection locked="0"/>
    </xf>
    <xf numFmtId="43" fontId="46" fillId="33" borderId="75"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63" fillId="35" borderId="46" xfId="0" applyFont="1" applyFill="1" applyBorder="1" applyAlignment="1">
      <alignment vertical="top"/>
    </xf>
    <xf numFmtId="0" fontId="63" fillId="35" borderId="46" xfId="0" applyFont="1" applyFill="1" applyBorder="1" applyAlignment="1">
      <alignment vertical="center"/>
    </xf>
    <xf numFmtId="43" fontId="54" fillId="32" borderId="76" xfId="1" applyFont="1" applyFill="1" applyBorder="1" applyAlignment="1" applyProtection="1">
      <alignment vertical="center" shrinkToFit="1"/>
      <protection locked="0"/>
    </xf>
    <xf numFmtId="43" fontId="54" fillId="32" borderId="78" xfId="1" applyFont="1" applyFill="1" applyBorder="1" applyAlignment="1" applyProtection="1">
      <alignment vertical="center" shrinkToFit="1"/>
      <protection locked="0"/>
    </xf>
    <xf numFmtId="43" fontId="54" fillId="32" borderId="63" xfId="1" applyFont="1" applyFill="1" applyBorder="1" applyAlignment="1" applyProtection="1">
      <alignment horizontal="left" vertical="center" shrinkToFit="1"/>
      <protection locked="0"/>
    </xf>
    <xf numFmtId="43" fontId="6" fillId="32" borderId="74" xfId="1" applyFont="1" applyFill="1" applyBorder="1" applyAlignment="1" applyProtection="1">
      <alignment horizontal="center"/>
      <protection locked="0"/>
    </xf>
    <xf numFmtId="43" fontId="54" fillId="0" borderId="67" xfId="1" applyFont="1" applyFill="1" applyBorder="1" applyAlignment="1" applyProtection="1">
      <alignment vertical="center" shrinkToFit="1"/>
      <protection locked="0"/>
    </xf>
    <xf numFmtId="43" fontId="54" fillId="0" borderId="67" xfId="1" applyFont="1" applyFill="1" applyBorder="1" applyAlignment="1" applyProtection="1">
      <alignment vertical="center"/>
      <protection locked="0"/>
    </xf>
    <xf numFmtId="43" fontId="54" fillId="0" borderId="82" xfId="1" applyFont="1" applyFill="1" applyBorder="1" applyAlignment="1" applyProtection="1">
      <alignment horizontal="left" vertical="center" shrinkToFit="1"/>
      <protection locked="0"/>
    </xf>
    <xf numFmtId="1" fontId="65" fillId="0" borderId="69" xfId="1" applyNumberFormat="1" applyFont="1" applyFill="1" applyBorder="1" applyAlignment="1" applyProtection="1">
      <alignment horizontal="left" vertical="center" shrinkToFit="1"/>
      <protection locked="0"/>
    </xf>
    <xf numFmtId="1" fontId="65" fillId="0" borderId="4" xfId="1" applyNumberFormat="1" applyFont="1" applyFill="1" applyBorder="1" applyAlignment="1" applyProtection="1">
      <alignment horizontal="center" vertical="center" shrinkToFit="1"/>
      <protection locked="0"/>
    </xf>
    <xf numFmtId="43" fontId="65" fillId="0" borderId="68" xfId="1" applyFont="1" applyFill="1" applyBorder="1" applyAlignment="1">
      <alignment horizontal="center"/>
    </xf>
    <xf numFmtId="43" fontId="65" fillId="0" borderId="3" xfId="1" applyFont="1" applyFill="1" applyBorder="1" applyAlignment="1" applyProtection="1">
      <alignment horizontal="center" vertical="center" shrinkToFit="1"/>
      <protection locked="0"/>
    </xf>
    <xf numFmtId="43" fontId="65" fillId="0" borderId="0" xfId="1" applyFont="1" applyAlignment="1" applyProtection="1">
      <alignment horizontal="center"/>
      <protection locked="0"/>
    </xf>
    <xf numFmtId="43" fontId="65" fillId="0" borderId="69" xfId="1" applyFont="1" applyFill="1" applyBorder="1" applyAlignment="1">
      <alignment horizontal="center"/>
    </xf>
    <xf numFmtId="43" fontId="65" fillId="0" borderId="4" xfId="1" applyFont="1" applyFill="1" applyBorder="1" applyAlignment="1" applyProtection="1">
      <alignment horizontal="center" vertical="center" shrinkToFit="1"/>
      <protection locked="0"/>
    </xf>
    <xf numFmtId="43" fontId="64" fillId="0" borderId="0" xfId="1" applyFont="1" applyProtection="1">
      <protection locked="0"/>
    </xf>
    <xf numFmtId="43" fontId="66" fillId="34" borderId="80" xfId="1" applyFont="1" applyFill="1" applyBorder="1" applyAlignment="1" applyProtection="1">
      <alignment horizontal="center" vertical="top" wrapText="1"/>
      <protection locked="0"/>
    </xf>
    <xf numFmtId="43" fontId="66" fillId="34" borderId="63"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62" fillId="11" borderId="0" xfId="1" applyNumberFormat="1" applyFont="1" applyFill="1" applyAlignment="1" applyProtection="1">
      <alignment horizontal="center"/>
      <protection locked="0"/>
    </xf>
    <xf numFmtId="0" fontId="30" fillId="0" borderId="84" xfId="10" applyFont="1" applyBorder="1" applyAlignment="1">
      <alignment horizontal="left"/>
    </xf>
    <xf numFmtId="0" fontId="30" fillId="5" borderId="24" xfId="10" applyFont="1" applyFill="1" applyBorder="1" applyAlignment="1">
      <alignment horizontal="center"/>
    </xf>
    <xf numFmtId="0" fontId="30" fillId="0" borderId="84" xfId="11" applyNumberFormat="1" applyFont="1" applyBorder="1" applyAlignment="1">
      <alignment horizontal="center"/>
    </xf>
    <xf numFmtId="43" fontId="30" fillId="0" borderId="84" xfId="11" applyFont="1" applyBorder="1" applyAlignment="1"/>
    <xf numFmtId="43" fontId="31" fillId="8" borderId="84" xfId="11" applyFont="1" applyFill="1" applyBorder="1" applyAlignment="1"/>
    <xf numFmtId="43" fontId="30" fillId="5" borderId="87" xfId="11" applyFont="1" applyFill="1" applyBorder="1" applyAlignment="1"/>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8" xfId="11" applyFont="1" applyFill="1" applyBorder="1" applyAlignment="1"/>
    <xf numFmtId="43" fontId="30" fillId="5" borderId="88" xfId="11" applyFont="1" applyFill="1" applyBorder="1" applyAlignment="1"/>
    <xf numFmtId="0" fontId="27" fillId="0" borderId="30" xfId="10" applyFont="1" applyBorder="1" applyAlignment="1">
      <alignment horizontal="center"/>
    </xf>
    <xf numFmtId="0" fontId="30" fillId="0" borderId="32" xfId="10" applyFont="1" applyBorder="1" applyAlignment="1"/>
    <xf numFmtId="0" fontId="30" fillId="0" borderId="89" xfId="10" applyFont="1" applyBorder="1" applyAlignment="1">
      <alignment horizontal="left"/>
    </xf>
    <xf numFmtId="0" fontId="30" fillId="5" borderId="32" xfId="10" applyFont="1" applyFill="1" applyBorder="1" applyAlignment="1">
      <alignment horizontal="center"/>
    </xf>
    <xf numFmtId="0" fontId="30" fillId="0" borderId="89" xfId="11" applyNumberFormat="1" applyFont="1" applyBorder="1" applyAlignment="1">
      <alignment horizontal="center"/>
    </xf>
    <xf numFmtId="43" fontId="30" fillId="0" borderId="89" xfId="11" applyFont="1" applyBorder="1" applyAlignment="1"/>
    <xf numFmtId="43" fontId="31" fillId="8" borderId="89" xfId="11" applyFont="1" applyFill="1" applyBorder="1" applyAlignment="1"/>
    <xf numFmtId="43" fontId="30" fillId="5" borderId="90" xfId="11" applyFont="1" applyFill="1" applyBorder="1" applyAlignment="1"/>
    <xf numFmtId="0" fontId="28" fillId="27" borderId="91" xfId="10" applyFont="1" applyFill="1" applyBorder="1" applyAlignment="1">
      <alignment horizontal="center" vertical="center"/>
    </xf>
    <xf numFmtId="43" fontId="29" fillId="27" borderId="91" xfId="11" applyFont="1" applyFill="1" applyBorder="1" applyAlignment="1">
      <alignment horizontal="center" vertical="center" wrapText="1"/>
    </xf>
    <xf numFmtId="43" fontId="29" fillId="27" borderId="91" xfId="11" applyFont="1" applyFill="1" applyBorder="1" applyAlignment="1">
      <alignment horizontal="center" vertical="center"/>
    </xf>
    <xf numFmtId="43" fontId="28" fillId="27" borderId="92"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0" fontId="31" fillId="5" borderId="84" xfId="11" applyNumberFormat="1" applyFont="1" applyFill="1" applyBorder="1" applyAlignment="1">
      <alignment horizontal="center"/>
    </xf>
    <xf numFmtId="43" fontId="31" fillId="5" borderId="84"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27" fillId="5" borderId="30" xfId="10" applyFont="1" applyFill="1" applyBorder="1" applyAlignment="1">
      <alignment horizontal="center"/>
    </xf>
    <xf numFmtId="0" fontId="30" fillId="11" borderId="32" xfId="10" applyFont="1" applyFill="1" applyBorder="1" applyAlignment="1">
      <alignment horizontal="right"/>
    </xf>
    <xf numFmtId="41" fontId="13" fillId="5" borderId="32" xfId="10" applyNumberFormat="1" applyFont="1" applyFill="1" applyBorder="1" applyAlignment="1">
      <alignment horizontal="center"/>
    </xf>
    <xf numFmtId="0" fontId="31" fillId="5" borderId="89" xfId="11" applyNumberFormat="1" applyFont="1" applyFill="1" applyBorder="1" applyAlignment="1">
      <alignment horizontal="center"/>
    </xf>
    <xf numFmtId="43" fontId="31" fillId="5" borderId="89" xfId="11" applyFont="1" applyFill="1" applyBorder="1" applyAlignment="1"/>
    <xf numFmtId="0" fontId="13" fillId="5" borderId="32" xfId="10" applyFont="1" applyFill="1" applyBorder="1" applyAlignment="1">
      <alignment vertical="top" wrapText="1"/>
    </xf>
    <xf numFmtId="0" fontId="33" fillId="6" borderId="93" xfId="10" applyFont="1" applyFill="1" applyBorder="1" applyAlignment="1"/>
    <xf numFmtId="0" fontId="34" fillId="6" borderId="94" xfId="10" applyFont="1" applyFill="1" applyBorder="1" applyAlignment="1">
      <alignment horizontal="center"/>
    </xf>
    <xf numFmtId="0" fontId="35" fillId="6" borderId="94" xfId="11" applyNumberFormat="1" applyFont="1" applyFill="1" applyBorder="1" applyAlignment="1">
      <alignment horizontal="center"/>
    </xf>
    <xf numFmtId="43" fontId="35" fillId="6" borderId="95" xfId="11" applyFont="1" applyFill="1" applyBorder="1" applyAlignment="1"/>
    <xf numFmtId="43" fontId="34" fillId="10" borderId="96" xfId="11" applyFont="1" applyFill="1" applyBorder="1" applyAlignment="1"/>
    <xf numFmtId="43" fontId="13" fillId="0" borderId="84" xfId="11" applyFont="1" applyBorder="1" applyAlignment="1"/>
    <xf numFmtId="43" fontId="28" fillId="31" borderId="0" xfId="11" applyFont="1" applyFill="1" applyBorder="1" applyAlignment="1">
      <alignment horizontal="left"/>
    </xf>
    <xf numFmtId="0" fontId="30" fillId="0" borderId="22" xfId="12" applyFont="1" applyBorder="1" applyAlignment="1">
      <alignment horizontal="left"/>
    </xf>
    <xf numFmtId="9" fontId="30" fillId="0" borderId="101" xfId="9" applyFont="1" applyBorder="1" applyAlignment="1">
      <alignment horizontal="center"/>
    </xf>
    <xf numFmtId="0" fontId="32" fillId="0" borderId="84" xfId="12" applyFont="1" applyBorder="1"/>
    <xf numFmtId="43" fontId="13" fillId="0" borderId="84" xfId="9" applyNumberFormat="1" applyFont="1" applyBorder="1" applyAlignment="1">
      <alignment horizontal="center"/>
    </xf>
    <xf numFmtId="43" fontId="13" fillId="0" borderId="84" xfId="11" applyFont="1" applyFill="1" applyBorder="1" applyAlignment="1"/>
    <xf numFmtId="164" fontId="13" fillId="0" borderId="84" xfId="12" applyNumberFormat="1" applyFont="1" applyBorder="1" applyAlignment="1">
      <alignment horizontal="center"/>
    </xf>
    <xf numFmtId="43" fontId="13" fillId="18" borderId="84" xfId="1" applyFont="1" applyFill="1" applyBorder="1" applyAlignment="1"/>
    <xf numFmtId="0" fontId="13" fillId="0" borderId="84" xfId="12" applyFont="1" applyBorder="1" applyAlignment="1">
      <alignment horizontal="center"/>
    </xf>
    <xf numFmtId="9" fontId="13" fillId="0" borderId="87"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8" xfId="9" applyFont="1" applyBorder="1" applyAlignment="1">
      <alignment horizontal="center"/>
    </xf>
    <xf numFmtId="9" fontId="13" fillId="0" borderId="88" xfId="9" applyFont="1" applyFill="1" applyBorder="1" applyAlignment="1">
      <alignment horizontal="center"/>
    </xf>
    <xf numFmtId="43" fontId="13" fillId="0" borderId="88" xfId="12" applyNumberFormat="1" applyFont="1" applyBorder="1" applyAlignment="1">
      <alignment horizontal="center"/>
    </xf>
    <xf numFmtId="0" fontId="30" fillId="0" borderId="30" xfId="12" applyFont="1" applyBorder="1" applyAlignment="1">
      <alignment horizontal="left"/>
    </xf>
    <xf numFmtId="9" fontId="57" fillId="0" borderId="102" xfId="9" applyFont="1" applyBorder="1" applyAlignment="1">
      <alignment horizontal="center"/>
    </xf>
    <xf numFmtId="0" fontId="57" fillId="0" borderId="89" xfId="12" applyFont="1" applyBorder="1"/>
    <xf numFmtId="43" fontId="58" fillId="0" borderId="89" xfId="9" applyNumberFormat="1" applyFont="1" applyFill="1" applyBorder="1" applyAlignment="1">
      <alignment horizontal="center"/>
    </xf>
    <xf numFmtId="43" fontId="58" fillId="0" borderId="89" xfId="11" applyFont="1" applyFill="1" applyBorder="1" applyAlignment="1"/>
    <xf numFmtId="43" fontId="58" fillId="0" borderId="89" xfId="12" applyNumberFormat="1" applyFont="1" applyBorder="1" applyAlignment="1">
      <alignment horizontal="center"/>
    </xf>
    <xf numFmtId="43" fontId="58" fillId="18" borderId="89" xfId="1" applyFont="1" applyFill="1" applyBorder="1" applyAlignment="1"/>
    <xf numFmtId="0" fontId="58" fillId="0" borderId="89" xfId="12" applyFont="1" applyBorder="1" applyAlignment="1">
      <alignment horizontal="center"/>
    </xf>
    <xf numFmtId="43" fontId="58" fillId="0" borderId="90" xfId="12" applyNumberFormat="1" applyFont="1" applyBorder="1" applyAlignment="1">
      <alignment horizontal="center"/>
    </xf>
    <xf numFmtId="0" fontId="30" fillId="0" borderId="103" xfId="12" applyFont="1" applyBorder="1" applyAlignment="1">
      <alignment horizontal="left"/>
    </xf>
    <xf numFmtId="9" fontId="30" fillId="0" borderId="84" xfId="9" applyFont="1" applyBorder="1" applyAlignment="1">
      <alignment horizontal="center"/>
    </xf>
    <xf numFmtId="43" fontId="13" fillId="0" borderId="84" xfId="12" applyNumberFormat="1" applyFont="1" applyBorder="1" applyAlignment="1">
      <alignment horizontal="center"/>
    </xf>
    <xf numFmtId="0" fontId="13" fillId="0" borderId="87" xfId="12" applyFont="1" applyBorder="1" applyAlignment="1">
      <alignment horizontal="center"/>
    </xf>
    <xf numFmtId="0" fontId="30" fillId="0" borderId="104" xfId="12" applyFont="1" applyBorder="1" applyAlignment="1">
      <alignment horizontal="left"/>
    </xf>
    <xf numFmtId="0" fontId="13" fillId="0" borderId="88" xfId="12" applyFont="1" applyBorder="1" applyAlignment="1">
      <alignment horizontal="center"/>
    </xf>
    <xf numFmtId="0" fontId="32" fillId="0" borderId="51" xfId="12" applyFont="1" applyBorder="1"/>
    <xf numFmtId="43" fontId="13" fillId="0" borderId="51" xfId="9" applyNumberFormat="1" applyFont="1" applyBorder="1" applyAlignment="1">
      <alignment horizontal="center"/>
    </xf>
    <xf numFmtId="43" fontId="13" fillId="0" borderId="51" xfId="11" applyFont="1" applyFill="1" applyBorder="1" applyAlignment="1"/>
    <xf numFmtId="43" fontId="13" fillId="0" borderId="51" xfId="12" applyNumberFormat="1" applyFont="1" applyBorder="1" applyAlignment="1">
      <alignment horizontal="center"/>
    </xf>
    <xf numFmtId="43" fontId="13" fillId="18" borderId="51" xfId="1" applyFont="1" applyFill="1" applyBorder="1" applyAlignment="1"/>
    <xf numFmtId="0" fontId="13" fillId="0" borderId="51" xfId="12" applyFont="1" applyBorder="1" applyAlignment="1">
      <alignment horizontal="center"/>
    </xf>
    <xf numFmtId="0" fontId="13" fillId="0" borderId="105" xfId="12" applyFont="1" applyBorder="1" applyAlignment="1">
      <alignment horizontal="center"/>
    </xf>
    <xf numFmtId="43" fontId="22" fillId="10" borderId="33" xfId="11" applyFont="1" applyFill="1" applyBorder="1" applyAlignment="1"/>
    <xf numFmtId="43" fontId="22" fillId="10" borderId="33" xfId="12" applyNumberFormat="1" applyFont="1" applyFill="1" applyBorder="1"/>
    <xf numFmtId="0" fontId="22" fillId="32" borderId="106" xfId="12" applyFont="1" applyFill="1" applyBorder="1" applyAlignment="1">
      <alignment horizontal="center"/>
    </xf>
    <xf numFmtId="9" fontId="22" fillId="32" borderId="83" xfId="9" applyFont="1" applyFill="1" applyBorder="1" applyAlignment="1">
      <alignment horizontal="center"/>
    </xf>
    <xf numFmtId="0" fontId="38" fillId="32" borderId="83" xfId="12" applyFont="1" applyFill="1" applyBorder="1"/>
    <xf numFmtId="43" fontId="22" fillId="32" borderId="83" xfId="9" applyNumberFormat="1" applyFont="1" applyFill="1" applyBorder="1" applyAlignment="1">
      <alignment horizontal="center"/>
    </xf>
    <xf numFmtId="43" fontId="22" fillId="32" borderId="107" xfId="11" applyFont="1" applyFill="1" applyBorder="1" applyAlignment="1"/>
    <xf numFmtId="0" fontId="22" fillId="32" borderId="33" xfId="12" applyFont="1" applyFill="1" applyBorder="1"/>
    <xf numFmtId="0" fontId="22" fillId="32" borderId="33" xfId="12" applyFont="1" applyFill="1" applyBorder="1" applyAlignment="1">
      <alignment horizontal="center"/>
    </xf>
    <xf numFmtId="0" fontId="22" fillId="32" borderId="108" xfId="12" applyFont="1" applyFill="1" applyBorder="1" applyAlignment="1">
      <alignment horizontal="center"/>
    </xf>
    <xf numFmtId="43" fontId="22" fillId="11" borderId="109" xfId="11" applyFont="1" applyFill="1" applyBorder="1" applyAlignment="1"/>
    <xf numFmtId="9" fontId="30" fillId="11" borderId="84" xfId="9" applyFont="1" applyFill="1" applyBorder="1" applyAlignment="1">
      <alignment horizontal="center"/>
    </xf>
    <xf numFmtId="0" fontId="30" fillId="11" borderId="84" xfId="12" applyFont="1" applyFill="1" applyBorder="1"/>
    <xf numFmtId="43" fontId="30" fillId="11" borderId="84" xfId="11" applyFont="1" applyFill="1" applyBorder="1" applyAlignment="1"/>
    <xf numFmtId="43" fontId="30" fillId="11" borderId="87" xfId="11" applyFont="1" applyFill="1" applyBorder="1" applyAlignment="1"/>
    <xf numFmtId="0" fontId="30" fillId="11" borderId="104" xfId="12" applyFont="1" applyFill="1" applyBorder="1" applyAlignment="1">
      <alignment horizontal="left"/>
    </xf>
    <xf numFmtId="43" fontId="30" fillId="11" borderId="46" xfId="11" applyFont="1" applyFill="1" applyBorder="1" applyAlignment="1"/>
    <xf numFmtId="43" fontId="30" fillId="11" borderId="88" xfId="11" applyFont="1" applyFill="1" applyBorder="1" applyAlignment="1"/>
    <xf numFmtId="0" fontId="30" fillId="11" borderId="100" xfId="12" applyFont="1" applyFill="1" applyBorder="1" applyAlignment="1">
      <alignment horizontal="left"/>
    </xf>
    <xf numFmtId="9" fontId="30" fillId="11" borderId="89" xfId="9" applyFont="1" applyFill="1" applyBorder="1" applyAlignment="1">
      <alignment horizontal="center"/>
    </xf>
    <xf numFmtId="0" fontId="30" fillId="11" borderId="89" xfId="12" applyFont="1" applyFill="1" applyBorder="1"/>
    <xf numFmtId="43" fontId="30" fillId="11" borderId="89" xfId="11" applyFont="1" applyFill="1" applyBorder="1" applyAlignment="1"/>
    <xf numFmtId="43" fontId="30" fillId="11" borderId="90" xfId="11" applyFont="1" applyFill="1" applyBorder="1" applyAlignment="1"/>
    <xf numFmtId="9" fontId="30" fillId="11" borderId="44" xfId="9" applyFont="1" applyFill="1" applyBorder="1" applyAlignment="1">
      <alignment horizontal="center"/>
    </xf>
    <xf numFmtId="0" fontId="30" fillId="11" borderId="110"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11" xfId="11" applyFont="1" applyFill="1" applyBorder="1" applyAlignment="1"/>
    <xf numFmtId="0" fontId="30" fillId="11" borderId="22" xfId="12" applyFont="1" applyFill="1" applyBorder="1" applyAlignment="1">
      <alignment horizontal="left"/>
    </xf>
    <xf numFmtId="9" fontId="30" fillId="11" borderId="101" xfId="9" applyFont="1" applyFill="1" applyBorder="1" applyAlignment="1">
      <alignment horizontal="center"/>
    </xf>
    <xf numFmtId="0" fontId="30" fillId="11" borderId="26" xfId="12" applyFont="1" applyFill="1" applyBorder="1" applyAlignment="1">
      <alignment horizontal="left"/>
    </xf>
    <xf numFmtId="0" fontId="30" fillId="11" borderId="30" xfId="12" applyFont="1" applyFill="1" applyBorder="1" applyAlignment="1">
      <alignment horizontal="left"/>
    </xf>
    <xf numFmtId="9" fontId="30" fillId="11" borderId="102" xfId="9" applyFont="1" applyFill="1" applyBorder="1" applyAlignment="1">
      <alignment horizontal="center"/>
    </xf>
    <xf numFmtId="0" fontId="37" fillId="32" borderId="112" xfId="12" applyFont="1" applyFill="1" applyBorder="1"/>
    <xf numFmtId="0" fontId="37" fillId="32" borderId="113" xfId="12" applyFont="1" applyFill="1" applyBorder="1"/>
    <xf numFmtId="0" fontId="37" fillId="32" borderId="114" xfId="12" applyFont="1" applyFill="1" applyBorder="1"/>
    <xf numFmtId="0" fontId="28" fillId="32" borderId="100" xfId="12" applyFont="1" applyFill="1" applyBorder="1" applyAlignment="1">
      <alignment horizontal="center"/>
    </xf>
    <xf numFmtId="0" fontId="28" fillId="32" borderId="89" xfId="12" applyFont="1" applyFill="1" applyBorder="1" applyAlignment="1">
      <alignment horizontal="center"/>
    </xf>
    <xf numFmtId="43" fontId="28" fillId="32" borderId="89" xfId="11" applyFont="1" applyFill="1" applyBorder="1" applyAlignment="1">
      <alignment horizontal="center"/>
    </xf>
    <xf numFmtId="43" fontId="28" fillId="32" borderId="90" xfId="11" applyFont="1" applyFill="1" applyBorder="1" applyAlignment="1">
      <alignment horizontal="center"/>
    </xf>
    <xf numFmtId="0" fontId="67" fillId="11" borderId="0" xfId="3" applyFont="1" applyFill="1" applyBorder="1" applyAlignment="1" applyProtection="1">
      <alignment horizontal="centerContinuous"/>
      <protection locked="0"/>
    </xf>
    <xf numFmtId="43" fontId="67" fillId="11" borderId="0" xfId="1" applyFont="1" applyFill="1" applyBorder="1" applyAlignment="1" applyProtection="1">
      <alignment horizontal="centerContinuous"/>
      <protection locked="0"/>
    </xf>
    <xf numFmtId="0" fontId="67" fillId="11" borderId="0" xfId="1" applyNumberFormat="1" applyFont="1" applyFill="1" applyBorder="1" applyAlignment="1" applyProtection="1">
      <alignment horizontal="center"/>
      <protection locked="0"/>
    </xf>
    <xf numFmtId="0" fontId="69" fillId="0" borderId="0" xfId="0" applyFont="1" applyProtection="1">
      <protection locked="0"/>
    </xf>
    <xf numFmtId="0" fontId="70" fillId="11" borderId="0" xfId="4" applyFont="1" applyFill="1" applyAlignment="1" applyProtection="1">
      <alignment horizontal="centerContinuous" vertical="center"/>
      <protection locked="0"/>
    </xf>
    <xf numFmtId="0" fontId="70" fillId="11" borderId="0" xfId="4" applyNumberFormat="1" applyFont="1" applyFill="1" applyAlignment="1" applyProtection="1">
      <alignment horizontal="centerContinuous" vertical="center"/>
      <protection locked="0"/>
    </xf>
    <xf numFmtId="1" fontId="70" fillId="11" borderId="0" xfId="1" applyNumberFormat="1" applyFont="1" applyFill="1" applyAlignment="1" applyProtection="1">
      <alignment horizontal="centerContinuous" vertical="center"/>
      <protection locked="0"/>
    </xf>
    <xf numFmtId="0" fontId="70" fillId="11" borderId="0" xfId="1" applyNumberFormat="1" applyFont="1" applyFill="1" applyAlignment="1" applyProtection="1">
      <alignment horizontal="centerContinuous" vertical="center"/>
      <protection locked="0"/>
    </xf>
    <xf numFmtId="43" fontId="70" fillId="11" borderId="0" xfId="1" applyFont="1" applyFill="1" applyAlignment="1" applyProtection="1">
      <alignment horizontal="centerContinuous" vertical="center"/>
      <protection locked="0"/>
    </xf>
    <xf numFmtId="1" fontId="68" fillId="11" borderId="0" xfId="1" applyNumberFormat="1" applyFont="1" applyFill="1" applyAlignment="1" applyProtection="1">
      <alignment horizontal="centerContinuous" vertical="center"/>
      <protection locked="0"/>
    </xf>
    <xf numFmtId="0" fontId="70" fillId="11" borderId="0" xfId="1" applyNumberFormat="1" applyFont="1" applyFill="1" applyAlignment="1" applyProtection="1">
      <alignment horizontal="center" vertical="center"/>
      <protection locked="0"/>
    </xf>
    <xf numFmtId="0" fontId="70" fillId="11" borderId="0" xfId="0" applyFont="1" applyFill="1" applyProtection="1">
      <protection locked="0"/>
    </xf>
    <xf numFmtId="0" fontId="70" fillId="11" borderId="0" xfId="0" applyFont="1" applyFill="1" applyAlignment="1" applyProtection="1">
      <alignment horizontal="center"/>
      <protection locked="0"/>
    </xf>
    <xf numFmtId="1" fontId="70" fillId="11" borderId="0" xfId="1" applyNumberFormat="1" applyFont="1" applyFill="1" applyAlignment="1" applyProtection="1">
      <alignment horizontal="center"/>
      <protection locked="0"/>
    </xf>
    <xf numFmtId="0" fontId="70" fillId="11" borderId="0" xfId="1" applyNumberFormat="1" applyFont="1" applyFill="1" applyAlignment="1" applyProtection="1">
      <alignment horizontal="center"/>
      <protection locked="0"/>
    </xf>
    <xf numFmtId="43" fontId="70" fillId="11" borderId="0" xfId="1" applyFont="1" applyFill="1" applyAlignment="1" applyProtection="1">
      <alignment horizontal="center"/>
      <protection locked="0"/>
    </xf>
    <xf numFmtId="1" fontId="68" fillId="11" borderId="0" xfId="1" applyNumberFormat="1" applyFont="1" applyFill="1" applyAlignment="1" applyProtection="1">
      <alignment horizontal="center"/>
      <protection locked="0"/>
    </xf>
    <xf numFmtId="4" fontId="70" fillId="0" borderId="0" xfId="1" applyNumberFormat="1" applyFont="1" applyProtection="1">
      <protection locked="0"/>
    </xf>
    <xf numFmtId="0" fontId="69" fillId="0" borderId="0" xfId="1" applyNumberFormat="1" applyFont="1" applyAlignment="1" applyProtection="1">
      <alignment horizontal="center"/>
      <protection locked="0"/>
    </xf>
    <xf numFmtId="4" fontId="69" fillId="0" borderId="0" xfId="1" applyNumberFormat="1" applyFont="1" applyAlignment="1" applyProtection="1">
      <alignment horizontal="center"/>
      <protection locked="0"/>
    </xf>
    <xf numFmtId="0" fontId="70" fillId="11" borderId="0" xfId="0" applyFont="1" applyFill="1" applyAlignment="1" applyProtection="1">
      <alignment horizontal="left"/>
      <protection locked="0"/>
    </xf>
    <xf numFmtId="43" fontId="69" fillId="11" borderId="0" xfId="1" applyFont="1" applyFill="1" applyAlignment="1" applyProtection="1">
      <alignment horizontal="center"/>
      <protection locked="0"/>
    </xf>
    <xf numFmtId="9" fontId="69" fillId="11" borderId="0" xfId="1" applyNumberFormat="1" applyFont="1" applyFill="1" applyAlignment="1" applyProtection="1">
      <alignment horizontal="center"/>
      <protection locked="0"/>
    </xf>
    <xf numFmtId="9" fontId="70" fillId="11" borderId="0" xfId="1" applyNumberFormat="1" applyFont="1" applyFill="1" applyAlignment="1" applyProtection="1">
      <alignment horizontal="center"/>
      <protection locked="0"/>
    </xf>
    <xf numFmtId="0" fontId="69" fillId="4" borderId="3" xfId="8" applyFont="1" applyBorder="1" applyAlignment="1" applyProtection="1">
      <alignment horizontal="center" vertical="top" wrapText="1"/>
      <protection locked="0"/>
    </xf>
    <xf numFmtId="0" fontId="69" fillId="4" borderId="4" xfId="8" applyFont="1" applyBorder="1" applyAlignment="1" applyProtection="1">
      <alignment horizontal="center" vertical="top" wrapText="1"/>
      <protection locked="0"/>
    </xf>
    <xf numFmtId="0" fontId="69" fillId="4" borderId="24" xfId="8" applyFont="1" applyBorder="1" applyAlignment="1" applyProtection="1">
      <alignment horizontal="center" vertical="top" wrapText="1"/>
      <protection locked="0"/>
    </xf>
    <xf numFmtId="0" fontId="72" fillId="14" borderId="21" xfId="0" applyFont="1" applyFill="1" applyBorder="1" applyAlignment="1">
      <alignment horizontal="center" vertical="top" wrapText="1"/>
    </xf>
    <xf numFmtId="0" fontId="72" fillId="14" borderId="4" xfId="0" applyFont="1" applyFill="1" applyBorder="1" applyAlignment="1">
      <alignment horizontal="center" vertical="top" wrapText="1"/>
    </xf>
    <xf numFmtId="1" fontId="73" fillId="4" borderId="4" xfId="1" applyNumberFormat="1" applyFont="1" applyFill="1" applyBorder="1" applyAlignment="1" applyProtection="1">
      <alignment horizontal="center" vertical="top" wrapText="1"/>
      <protection locked="0"/>
    </xf>
    <xf numFmtId="0" fontId="73" fillId="4" borderId="22" xfId="1" applyNumberFormat="1" applyFont="1" applyFill="1" applyBorder="1" applyAlignment="1" applyProtection="1">
      <alignment horizontal="center" vertical="top" wrapText="1"/>
      <protection locked="0"/>
    </xf>
    <xf numFmtId="43" fontId="73" fillId="4" borderId="23" xfId="1" applyFont="1" applyFill="1" applyBorder="1" applyAlignment="1" applyProtection="1">
      <alignment horizontal="center" vertical="top" wrapText="1"/>
      <protection locked="0"/>
    </xf>
    <xf numFmtId="43" fontId="73" fillId="22" borderId="62" xfId="1" applyFont="1" applyFill="1" applyBorder="1" applyAlignment="1" applyProtection="1">
      <alignment horizontal="center" vertical="top" wrapText="1"/>
      <protection locked="0"/>
    </xf>
    <xf numFmtId="43" fontId="72" fillId="34" borderId="84" xfId="1" applyFont="1" applyFill="1" applyBorder="1" applyAlignment="1" applyProtection="1">
      <alignment horizontal="center" vertical="top" wrapText="1"/>
      <protection locked="0"/>
    </xf>
    <xf numFmtId="4" fontId="74" fillId="12" borderId="4" xfId="8" applyNumberFormat="1" applyFont="1" applyFill="1" applyBorder="1" applyAlignment="1" applyProtection="1">
      <alignment horizontal="center" vertical="center" wrapText="1"/>
      <protection locked="0"/>
    </xf>
    <xf numFmtId="4" fontId="71" fillId="13" borderId="3" xfId="8" applyNumberFormat="1" applyFont="1" applyFill="1" applyBorder="1" applyAlignment="1" applyProtection="1">
      <alignment horizontal="center" vertical="center" wrapText="1"/>
      <protection hidden="1"/>
    </xf>
    <xf numFmtId="0" fontId="73" fillId="4" borderId="4" xfId="8" applyFont="1" applyBorder="1" applyAlignment="1" applyProtection="1">
      <alignment horizontal="center" vertical="center" wrapText="1"/>
      <protection locked="0"/>
    </xf>
    <xf numFmtId="0" fontId="76" fillId="21" borderId="21" xfId="0" applyFont="1" applyFill="1" applyBorder="1" applyAlignment="1">
      <alignment horizontal="center" vertical="center" wrapText="1"/>
    </xf>
    <xf numFmtId="0" fontId="69" fillId="0" borderId="0" xfId="0" applyFont="1" applyAlignment="1" applyProtection="1">
      <alignment horizontal="center" vertical="center" wrapText="1"/>
      <protection locked="0"/>
    </xf>
    <xf numFmtId="43" fontId="74" fillId="33" borderId="66" xfId="1" applyFont="1" applyFill="1" applyBorder="1" applyAlignment="1" applyProtection="1">
      <alignment horizontal="center" vertical="center" shrinkToFit="1"/>
      <protection locked="0"/>
    </xf>
    <xf numFmtId="43" fontId="75" fillId="32" borderId="66" xfId="1" applyFont="1" applyFill="1" applyBorder="1" applyAlignment="1" applyProtection="1">
      <alignment vertical="center" shrinkToFit="1"/>
      <protection locked="0"/>
    </xf>
    <xf numFmtId="43" fontId="74" fillId="25" borderId="66" xfId="1" applyFont="1" applyFill="1" applyBorder="1" applyAlignment="1" applyProtection="1">
      <alignment vertical="center"/>
      <protection locked="0"/>
    </xf>
    <xf numFmtId="43" fontId="70" fillId="24" borderId="65" xfId="1" applyFont="1" applyFill="1" applyBorder="1" applyProtection="1">
      <protection hidden="1"/>
    </xf>
    <xf numFmtId="0" fontId="69" fillId="0" borderId="66" xfId="0" applyFont="1" applyBorder="1" applyAlignment="1" applyProtection="1">
      <alignment horizontal="center"/>
      <protection locked="0"/>
    </xf>
    <xf numFmtId="4" fontId="74" fillId="0" borderId="66" xfId="7" applyNumberFormat="1" applyFont="1" applyFill="1" applyBorder="1" applyAlignment="1" applyProtection="1">
      <alignment horizontal="center"/>
      <protection hidden="1"/>
    </xf>
    <xf numFmtId="0" fontId="78" fillId="0" borderId="68" xfId="6" applyFont="1" applyFill="1" applyBorder="1" applyAlignment="1" applyProtection="1">
      <alignment horizontal="center" vertical="center"/>
      <protection locked="0"/>
    </xf>
    <xf numFmtId="0" fontId="78" fillId="0" borderId="69" xfId="6" applyFont="1" applyFill="1" applyBorder="1" applyAlignment="1" applyProtection="1">
      <alignment horizontal="center" vertical="center"/>
      <protection locked="0"/>
    </xf>
    <xf numFmtId="0" fontId="73" fillId="0" borderId="69" xfId="6" applyFont="1" applyFill="1" applyBorder="1" applyAlignment="1" applyProtection="1">
      <alignment vertical="center" shrinkToFit="1"/>
      <protection locked="0"/>
    </xf>
    <xf numFmtId="43" fontId="74" fillId="0" borderId="69" xfId="1" applyFont="1" applyFill="1" applyBorder="1" applyAlignment="1" applyProtection="1">
      <alignment horizontal="center" vertical="center" shrinkToFit="1"/>
      <protection locked="0"/>
    </xf>
    <xf numFmtId="0" fontId="74" fillId="0" borderId="69" xfId="1" applyNumberFormat="1" applyFont="1" applyFill="1" applyBorder="1" applyAlignment="1" applyProtection="1">
      <alignment horizontal="center" vertical="center" shrinkToFit="1"/>
      <protection locked="0"/>
    </xf>
    <xf numFmtId="0" fontId="74" fillId="0" borderId="77" xfId="1" applyNumberFormat="1" applyFont="1" applyFill="1" applyBorder="1" applyAlignment="1" applyProtection="1">
      <alignment horizontal="center" vertical="center" shrinkToFit="1"/>
      <protection locked="0"/>
    </xf>
    <xf numFmtId="1" fontId="77" fillId="0" borderId="69" xfId="1" applyNumberFormat="1" applyFont="1" applyFill="1" applyBorder="1" applyAlignment="1" applyProtection="1">
      <alignment horizontal="left" vertical="center" shrinkToFit="1"/>
      <protection locked="0"/>
    </xf>
    <xf numFmtId="43" fontId="79" fillId="0" borderId="69" xfId="1" applyFont="1" applyFill="1" applyBorder="1" applyAlignment="1" applyProtection="1">
      <alignment horizontal="center" vertical="center" shrinkToFit="1"/>
      <protection locked="0"/>
    </xf>
    <xf numFmtId="43" fontId="79" fillId="32" borderId="69" xfId="1" applyFont="1" applyFill="1" applyBorder="1" applyAlignment="1" applyProtection="1">
      <alignment vertical="center" shrinkToFit="1"/>
      <protection locked="0"/>
    </xf>
    <xf numFmtId="0" fontId="79" fillId="0" borderId="86" xfId="1" applyNumberFormat="1" applyFont="1" applyFill="1" applyBorder="1" applyAlignment="1" applyProtection="1">
      <alignment horizontal="center" vertical="center" shrinkToFit="1"/>
      <protection locked="0"/>
    </xf>
    <xf numFmtId="43" fontId="75" fillId="24" borderId="68" xfId="1" applyFont="1" applyFill="1" applyBorder="1" applyProtection="1">
      <protection hidden="1"/>
    </xf>
    <xf numFmtId="0" fontId="69" fillId="0" borderId="69" xfId="0" applyFont="1" applyBorder="1" applyAlignment="1" applyProtection="1">
      <alignment horizontal="center"/>
      <protection locked="0"/>
    </xf>
    <xf numFmtId="4" fontId="74" fillId="0" borderId="69" xfId="7" applyNumberFormat="1" applyFont="1" applyFill="1" applyBorder="1" applyAlignment="1" applyProtection="1">
      <alignment horizontal="center"/>
      <protection hidden="1"/>
    </xf>
    <xf numFmtId="0" fontId="79" fillId="0" borderId="69" xfId="6" applyFont="1" applyFill="1" applyBorder="1" applyAlignment="1" applyProtection="1">
      <alignment vertical="center" shrinkToFit="1"/>
      <protection locked="0"/>
    </xf>
    <xf numFmtId="43" fontId="74" fillId="0" borderId="69" xfId="6" applyNumberFormat="1" applyFont="1" applyFill="1" applyBorder="1" applyAlignment="1" applyProtection="1">
      <alignment horizontal="center" vertical="center" shrinkToFit="1"/>
      <protection locked="0"/>
    </xf>
    <xf numFmtId="43" fontId="75" fillId="32" borderId="69" xfId="1" applyFont="1" applyFill="1" applyBorder="1" applyAlignment="1" applyProtection="1">
      <alignment vertical="center" shrinkToFit="1"/>
      <protection locked="0"/>
    </xf>
    <xf numFmtId="0" fontId="74" fillId="0" borderId="86" xfId="1" applyNumberFormat="1" applyFont="1" applyFill="1" applyBorder="1" applyAlignment="1" applyProtection="1">
      <alignment horizontal="center" vertical="center" shrinkToFit="1"/>
      <protection locked="0"/>
    </xf>
    <xf numFmtId="0" fontId="78" fillId="0" borderId="3" xfId="6" applyFont="1" applyFill="1" applyBorder="1" applyAlignment="1" applyProtection="1">
      <alignment horizontal="center" vertical="center"/>
      <protection locked="0"/>
    </xf>
    <xf numFmtId="0" fontId="79" fillId="0" borderId="4" xfId="6" applyFont="1" applyFill="1" applyBorder="1" applyAlignment="1" applyProtection="1">
      <alignment horizontal="left" vertical="center" shrinkToFit="1"/>
      <protection locked="0"/>
    </xf>
    <xf numFmtId="43" fontId="69" fillId="0" borderId="4" xfId="1" applyFont="1" applyFill="1" applyBorder="1" applyAlignment="1" applyProtection="1">
      <alignment horizontal="center" shrinkToFit="1"/>
      <protection locked="0"/>
    </xf>
    <xf numFmtId="0" fontId="74" fillId="0" borderId="4" xfId="1" applyNumberFormat="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0" fontId="74" fillId="0" borderId="26" xfId="1" applyNumberFormat="1" applyFont="1" applyFill="1" applyBorder="1" applyAlignment="1" applyProtection="1">
      <alignment horizontal="center" vertical="center" shrinkToFit="1"/>
      <protection locked="0"/>
    </xf>
    <xf numFmtId="43" fontId="74" fillId="0" borderId="4" xfId="1" applyFont="1" applyFill="1" applyBorder="1" applyAlignment="1" applyProtection="1">
      <alignment horizontal="center" vertical="center" shrinkToFit="1"/>
      <protection locked="0"/>
    </xf>
    <xf numFmtId="1" fontId="77" fillId="0" borderId="4" xfId="1" applyNumberFormat="1" applyFont="1" applyFill="1" applyBorder="1" applyAlignment="1" applyProtection="1">
      <alignment horizontal="center" vertical="center" shrinkToFit="1"/>
      <protection locked="0"/>
    </xf>
    <xf numFmtId="43" fontId="75" fillId="32" borderId="4" xfId="1" applyFont="1" applyFill="1" applyBorder="1" applyAlignment="1" applyProtection="1">
      <alignment horizontal="left" vertical="center" shrinkToFit="1"/>
      <protection locked="0"/>
    </xf>
    <xf numFmtId="0" fontId="74" fillId="0" borderId="39" xfId="1" applyNumberFormat="1" applyFont="1" applyFill="1" applyBorder="1" applyAlignment="1" applyProtection="1">
      <alignment horizontal="center" vertical="center" shrinkToFit="1"/>
      <protection locked="0"/>
    </xf>
    <xf numFmtId="43" fontId="75" fillId="24" borderId="3" xfId="1" applyFont="1" applyFill="1" applyBorder="1" applyProtection="1">
      <protection hidden="1"/>
    </xf>
    <xf numFmtId="14" fontId="69" fillId="0" borderId="4" xfId="0" applyNumberFormat="1" applyFont="1" applyBorder="1" applyAlignment="1" applyProtection="1">
      <alignment horizontal="center"/>
      <protection locked="0"/>
    </xf>
    <xf numFmtId="4" fontId="74" fillId="0" borderId="4" xfId="7" applyNumberFormat="1" applyFont="1" applyFill="1" applyBorder="1" applyAlignment="1" applyProtection="1">
      <alignment horizontal="center"/>
      <protection hidden="1"/>
    </xf>
    <xf numFmtId="0" fontId="74" fillId="0" borderId="0" xfId="6" applyFont="1" applyBorder="1" applyAlignment="1" applyProtection="1">
      <alignment vertical="center"/>
      <protection locked="0"/>
    </xf>
    <xf numFmtId="1" fontId="74" fillId="0" borderId="69" xfId="1" applyNumberFormat="1" applyFont="1" applyFill="1" applyBorder="1" applyAlignment="1" applyProtection="1">
      <alignment horizontal="center" vertical="center" shrinkToFit="1"/>
      <protection locked="0"/>
    </xf>
    <xf numFmtId="43" fontId="70" fillId="32" borderId="74" xfId="1" applyFont="1" applyFill="1" applyBorder="1" applyAlignment="1" applyProtection="1">
      <alignment horizontal="center"/>
      <protection locked="0"/>
    </xf>
    <xf numFmtId="43" fontId="70" fillId="10" borderId="33" xfId="1" applyFont="1" applyFill="1" applyBorder="1" applyAlignment="1" applyProtection="1">
      <alignment horizontal="center"/>
      <protection locked="0"/>
    </xf>
    <xf numFmtId="0" fontId="70" fillId="0" borderId="0" xfId="0" applyFont="1" applyProtection="1">
      <protection locked="0"/>
    </xf>
    <xf numFmtId="0" fontId="69" fillId="0" borderId="0" xfId="0" applyFont="1" applyAlignment="1" applyProtection="1">
      <alignment horizontal="center"/>
      <protection locked="0"/>
    </xf>
    <xf numFmtId="1" fontId="69" fillId="0" borderId="0" xfId="1" applyNumberFormat="1" applyFont="1" applyAlignment="1" applyProtection="1">
      <alignment horizontal="center"/>
      <protection locked="0"/>
    </xf>
    <xf numFmtId="43" fontId="69" fillId="0" borderId="0" xfId="1" applyFont="1" applyAlignment="1" applyProtection="1">
      <alignment horizontal="center"/>
      <protection locked="0"/>
    </xf>
    <xf numFmtId="1" fontId="77" fillId="0" borderId="0" xfId="1" applyNumberFormat="1" applyFont="1" applyAlignment="1" applyProtection="1">
      <alignment horizontal="center"/>
      <protection locked="0"/>
    </xf>
    <xf numFmtId="43" fontId="70" fillId="0" borderId="0" xfId="1" applyFont="1" applyProtection="1">
      <protection locked="0"/>
    </xf>
    <xf numFmtId="0" fontId="70" fillId="0" borderId="0" xfId="1" applyNumberFormat="1" applyFont="1" applyAlignment="1" applyProtection="1">
      <alignment horizontal="center"/>
      <protection locked="0"/>
    </xf>
    <xf numFmtId="4" fontId="69" fillId="0" borderId="0" xfId="1" applyNumberFormat="1" applyFont="1" applyProtection="1">
      <protection locked="0"/>
    </xf>
    <xf numFmtId="4" fontId="67" fillId="0" borderId="0" xfId="1" applyNumberFormat="1" applyFont="1" applyProtection="1">
      <protection locked="0"/>
    </xf>
    <xf numFmtId="43" fontId="67" fillId="0" borderId="0" xfId="1" applyFont="1" applyProtection="1">
      <protection locked="0"/>
    </xf>
    <xf numFmtId="4" fontId="67" fillId="0" borderId="0" xfId="1" applyNumberFormat="1" applyFont="1" applyAlignment="1" applyProtection="1">
      <alignment horizontal="center"/>
      <protection locked="0"/>
    </xf>
    <xf numFmtId="0" fontId="69" fillId="0" borderId="0" xfId="0" applyFont="1"/>
    <xf numFmtId="43" fontId="69" fillId="0" borderId="0" xfId="0" applyNumberFormat="1" applyFont="1" applyAlignment="1" applyProtection="1">
      <alignment horizontal="center"/>
      <protection locked="0"/>
    </xf>
    <xf numFmtId="0" fontId="81" fillId="11" borderId="0" xfId="0" applyFont="1" applyFill="1" applyProtection="1">
      <protection locked="0"/>
    </xf>
    <xf numFmtId="43" fontId="64" fillId="11" borderId="0" xfId="1" applyFont="1" applyFill="1" applyBorder="1" applyAlignment="1" applyProtection="1">
      <alignment horizontal="centerContinuous"/>
      <protection locked="0"/>
    </xf>
    <xf numFmtId="43" fontId="64" fillId="11" borderId="0" xfId="1" applyFont="1" applyFill="1" applyAlignment="1" applyProtection="1">
      <alignment horizontal="centerContinuous" vertical="center"/>
      <protection locked="0"/>
    </xf>
    <xf numFmtId="43" fontId="64" fillId="11" borderId="0" xfId="1" applyFont="1" applyFill="1" applyAlignment="1" applyProtection="1">
      <alignment horizontal="center"/>
      <protection locked="0"/>
    </xf>
    <xf numFmtId="43" fontId="74" fillId="0" borderId="69" xfId="1" applyFont="1" applyFill="1" applyBorder="1" applyAlignment="1" applyProtection="1">
      <alignment vertical="center"/>
      <protection locked="0"/>
    </xf>
    <xf numFmtId="43" fontId="74" fillId="0" borderId="4" xfId="1" applyFont="1" applyFill="1" applyBorder="1" applyAlignment="1" applyProtection="1">
      <alignment vertical="center"/>
      <protection locked="0"/>
    </xf>
    <xf numFmtId="1" fontId="73" fillId="26" borderId="23" xfId="1" applyNumberFormat="1" applyFont="1" applyFill="1" applyBorder="1" applyAlignment="1" applyProtection="1">
      <alignment horizontal="center" vertical="top" wrapText="1"/>
      <protection locked="0"/>
    </xf>
    <xf numFmtId="1" fontId="77" fillId="26" borderId="66" xfId="1" quotePrefix="1" applyNumberFormat="1" applyFont="1" applyFill="1" applyBorder="1" applyAlignment="1" applyProtection="1">
      <alignment horizontal="center" vertical="center" shrinkToFit="1"/>
      <protection locked="0"/>
    </xf>
    <xf numFmtId="43" fontId="77" fillId="26" borderId="66" xfId="1" applyFont="1" applyFill="1" applyBorder="1" applyAlignment="1" applyProtection="1">
      <alignment horizontal="center" vertical="center" shrinkToFit="1"/>
      <protection locked="0"/>
    </xf>
    <xf numFmtId="1" fontId="47" fillId="26" borderId="3" xfId="1" applyNumberFormat="1" applyFont="1" applyFill="1" applyBorder="1" applyAlignment="1" applyProtection="1">
      <alignment horizontal="center" vertical="top" wrapText="1"/>
      <protection locked="0"/>
    </xf>
    <xf numFmtId="1" fontId="65" fillId="26" borderId="66" xfId="1" quotePrefix="1" applyNumberFormat="1" applyFont="1" applyFill="1" applyBorder="1" applyAlignment="1" applyProtection="1">
      <alignment horizontal="center" vertical="center" shrinkToFit="1"/>
      <protection locked="0"/>
    </xf>
    <xf numFmtId="43" fontId="65" fillId="26" borderId="65" xfId="1" applyFont="1" applyFill="1" applyBorder="1" applyAlignment="1" applyProtection="1">
      <alignment horizontal="center" vertical="center" shrinkToFit="1"/>
      <protection locked="0"/>
    </xf>
    <xf numFmtId="0" fontId="67" fillId="11" borderId="0" xfId="3" applyFont="1" applyFill="1" applyBorder="1" applyAlignment="1" applyProtection="1">
      <alignment horizontal="center"/>
      <protection locked="0"/>
    </xf>
    <xf numFmtId="0" fontId="70" fillId="11" borderId="0" xfId="4" applyFont="1" applyFill="1" applyAlignment="1" applyProtection="1">
      <alignment horizontal="left" vertical="center"/>
      <protection locked="0"/>
    </xf>
    <xf numFmtId="0" fontId="70" fillId="11" borderId="0" xfId="4" applyFont="1" applyFill="1" applyAlignment="1" applyProtection="1">
      <alignment horizontal="center" vertical="center"/>
      <protection locked="0"/>
    </xf>
    <xf numFmtId="4" fontId="70" fillId="11" borderId="0" xfId="1" applyNumberFormat="1" applyFont="1" applyFill="1" applyAlignment="1" applyProtection="1">
      <alignment horizontal="center"/>
      <protection locked="0"/>
    </xf>
    <xf numFmtId="4" fontId="70" fillId="11" borderId="0" xfId="1" applyNumberFormat="1" applyFont="1" applyFill="1" applyProtection="1">
      <protection locked="0"/>
    </xf>
    <xf numFmtId="0" fontId="69" fillId="11" borderId="0" xfId="1" applyNumberFormat="1" applyFont="1" applyFill="1" applyAlignment="1" applyProtection="1">
      <alignment horizontal="center"/>
      <protection locked="0"/>
    </xf>
    <xf numFmtId="4" fontId="69" fillId="11" borderId="0" xfId="1" applyNumberFormat="1" applyFont="1" applyFill="1" applyAlignment="1" applyProtection="1">
      <alignment horizontal="center"/>
      <protection locked="0"/>
    </xf>
    <xf numFmtId="9" fontId="70" fillId="11" borderId="0" xfId="9" applyFont="1" applyFill="1" applyAlignment="1" applyProtection="1">
      <alignment horizontal="center"/>
      <protection locked="0"/>
    </xf>
    <xf numFmtId="0" fontId="69" fillId="11" borderId="0" xfId="1" applyNumberFormat="1" applyFont="1" applyFill="1" applyProtection="1">
      <protection locked="0"/>
    </xf>
    <xf numFmtId="0" fontId="69" fillId="11" borderId="0" xfId="0" applyFont="1" applyFill="1" applyProtection="1">
      <protection locked="0"/>
    </xf>
    <xf numFmtId="9" fontId="6" fillId="11" borderId="0" xfId="1" applyNumberFormat="1" applyFont="1" applyFill="1" applyAlignment="1" applyProtection="1">
      <alignment horizontal="center"/>
      <protection locked="0"/>
    </xf>
    <xf numFmtId="0" fontId="70" fillId="32" borderId="33" xfId="0" applyFont="1" applyFill="1" applyBorder="1" applyProtection="1">
      <protection locked="0"/>
    </xf>
    <xf numFmtId="0" fontId="70" fillId="32" borderId="33" xfId="0" applyFont="1" applyFill="1" applyBorder="1" applyAlignment="1" applyProtection="1">
      <alignment horizontal="center"/>
      <protection locked="0"/>
    </xf>
    <xf numFmtId="1" fontId="70" fillId="32" borderId="33" xfId="1" applyNumberFormat="1" applyFont="1" applyFill="1" applyBorder="1" applyAlignment="1" applyProtection="1">
      <alignment horizontal="center"/>
      <protection locked="0"/>
    </xf>
    <xf numFmtId="1" fontId="68" fillId="32" borderId="74" xfId="1" applyNumberFormat="1" applyFont="1" applyFill="1" applyBorder="1" applyAlignment="1" applyProtection="1">
      <alignment horizontal="center"/>
      <protection locked="0"/>
    </xf>
    <xf numFmtId="43" fontId="68" fillId="32" borderId="74" xfId="1" applyFont="1" applyFill="1" applyBorder="1" applyAlignment="1" applyProtection="1">
      <alignment horizontal="center"/>
      <protection locked="0"/>
    </xf>
    <xf numFmtId="0" fontId="70" fillId="32" borderId="74" xfId="1" applyNumberFormat="1" applyFont="1" applyFill="1" applyBorder="1" applyAlignment="1" applyProtection="1">
      <alignment horizontal="center"/>
      <protection locked="0"/>
    </xf>
    <xf numFmtId="43" fontId="64" fillId="32" borderId="74" xfId="1" applyFont="1" applyFill="1" applyBorder="1" applyAlignment="1" applyProtection="1">
      <alignment horizontal="center"/>
      <protection locked="0"/>
    </xf>
    <xf numFmtId="43" fontId="75" fillId="32" borderId="76" xfId="1" applyFont="1" applyFill="1" applyBorder="1" applyAlignment="1" applyProtection="1">
      <alignment vertical="center" shrinkToFit="1"/>
      <protection locked="0"/>
    </xf>
    <xf numFmtId="43" fontId="75" fillId="32" borderId="78" xfId="1" applyFont="1" applyFill="1" applyBorder="1" applyAlignment="1" applyProtection="1">
      <alignment vertical="center" shrinkToFit="1"/>
      <protection locked="0"/>
    </xf>
    <xf numFmtId="43" fontId="75" fillId="32" borderId="78" xfId="1" applyFont="1" applyFill="1" applyBorder="1" applyAlignment="1" applyProtection="1">
      <alignment vertical="center"/>
      <protection locked="0"/>
    </xf>
    <xf numFmtId="43" fontId="75" fillId="32" borderId="63" xfId="1" applyFont="1" applyFill="1" applyBorder="1" applyAlignment="1" applyProtection="1">
      <alignment horizontal="left" vertical="center" shrinkToFit="1"/>
      <protection locked="0"/>
    </xf>
    <xf numFmtId="43" fontId="65" fillId="26" borderId="66" xfId="1" applyFont="1" applyFill="1" applyBorder="1" applyAlignment="1" applyProtection="1">
      <alignment horizontal="center" vertical="center" shrinkToFit="1"/>
      <protection locked="0"/>
    </xf>
    <xf numFmtId="0" fontId="74" fillId="0" borderId="65" xfId="6" applyFont="1" applyFill="1" applyBorder="1" applyAlignment="1" applyProtection="1">
      <alignment horizontal="center" vertical="center"/>
      <protection locked="0"/>
    </xf>
    <xf numFmtId="1" fontId="74" fillId="0" borderId="65" xfId="6" quotePrefix="1" applyNumberFormat="1" applyFont="1" applyFill="1" applyBorder="1" applyAlignment="1" applyProtection="1">
      <alignment horizontal="center" vertical="center"/>
      <protection locked="0"/>
    </xf>
    <xf numFmtId="0" fontId="74" fillId="0" borderId="66" xfId="6" applyFont="1" applyFill="1" applyBorder="1" applyAlignment="1" applyProtection="1">
      <alignment horizontal="center" vertical="center" shrinkToFit="1"/>
      <protection locked="0"/>
    </xf>
    <xf numFmtId="1" fontId="74" fillId="0" borderId="66" xfId="1" quotePrefix="1" applyNumberFormat="1" applyFont="1" applyFill="1" applyBorder="1" applyAlignment="1" applyProtection="1">
      <alignment horizontal="center" vertical="center" shrinkToFit="1"/>
      <protection locked="0"/>
    </xf>
    <xf numFmtId="0" fontId="74" fillId="0" borderId="66" xfId="6" applyFont="1" applyFill="1" applyBorder="1" applyAlignment="1" applyProtection="1">
      <alignment vertical="center" shrinkToFit="1"/>
      <protection locked="0"/>
    </xf>
    <xf numFmtId="43" fontId="74" fillId="0" borderId="66" xfId="1" quotePrefix="1" applyFont="1" applyFill="1" applyBorder="1" applyAlignment="1" applyProtection="1">
      <alignment horizontal="center" vertical="center" shrinkToFit="1"/>
      <protection locked="0"/>
    </xf>
    <xf numFmtId="43" fontId="46" fillId="0" borderId="75" xfId="1" applyFont="1" applyFill="1" applyBorder="1" applyAlignment="1" applyProtection="1">
      <alignment horizontal="center" vertical="center" shrinkToFit="1"/>
      <protection locked="0"/>
    </xf>
    <xf numFmtId="17" fontId="74" fillId="0" borderId="75" xfId="1" quotePrefix="1" applyNumberFormat="1" applyFont="1" applyFill="1" applyBorder="1" applyAlignment="1" applyProtection="1">
      <alignment horizontal="center" vertical="center" shrinkToFit="1"/>
      <protection locked="0"/>
    </xf>
    <xf numFmtId="43" fontId="54" fillId="0" borderId="64" xfId="1" applyFont="1" applyFill="1" applyBorder="1" applyAlignment="1" applyProtection="1">
      <alignment vertical="center" shrinkToFit="1"/>
      <protection locked="0"/>
    </xf>
    <xf numFmtId="43" fontId="47" fillId="23" borderId="26" xfId="1" applyFont="1" applyFill="1" applyBorder="1" applyAlignment="1" applyProtection="1">
      <alignment horizontal="center" vertical="top" wrapText="1"/>
      <protection locked="0"/>
    </xf>
    <xf numFmtId="43" fontId="47" fillId="23" borderId="4" xfId="1" applyFont="1" applyFill="1" applyBorder="1" applyAlignment="1" applyProtection="1">
      <alignment horizontal="center" vertical="top" wrapText="1"/>
      <protection locked="0"/>
    </xf>
    <xf numFmtId="43" fontId="66" fillId="23" borderId="46" xfId="1" applyFont="1" applyFill="1" applyBorder="1" applyAlignment="1" applyProtection="1">
      <alignment horizontal="center" vertical="top" wrapText="1"/>
      <protection locked="0"/>
    </xf>
    <xf numFmtId="9" fontId="62" fillId="11" borderId="0" xfId="9" applyFont="1" applyFill="1" applyAlignment="1" applyProtection="1">
      <alignment horizontal="center"/>
      <protection locked="0"/>
    </xf>
    <xf numFmtId="43" fontId="70" fillId="32" borderId="33" xfId="1" applyFont="1" applyFill="1" applyBorder="1" applyAlignment="1" applyProtection="1">
      <alignment horizontal="center"/>
      <protection locked="0"/>
    </xf>
    <xf numFmtId="9" fontId="13" fillId="11" borderId="0" xfId="9" applyFont="1" applyFill="1" applyBorder="1" applyAlignment="1">
      <alignment horizontal="center"/>
    </xf>
    <xf numFmtId="43" fontId="13" fillId="11" borderId="0" xfId="12" applyNumberFormat="1" applyFont="1" applyFill="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70" fillId="11" borderId="0" xfId="1" applyNumberFormat="1" applyFont="1" applyFill="1" applyBorder="1" applyAlignment="1" applyProtection="1">
      <alignment horizontal="center"/>
      <protection locked="0"/>
    </xf>
    <xf numFmtId="43" fontId="70" fillId="11" borderId="0" xfId="1" applyFont="1" applyFill="1" applyBorder="1" applyAlignment="1" applyProtection="1">
      <alignment horizontal="center"/>
      <protection locked="0"/>
    </xf>
    <xf numFmtId="1" fontId="68" fillId="11" borderId="0" xfId="1" applyNumberFormat="1" applyFont="1" applyFill="1" applyBorder="1" applyAlignment="1" applyProtection="1">
      <alignment horizontal="center"/>
      <protection locked="0"/>
    </xf>
    <xf numFmtId="43" fontId="68" fillId="11" borderId="0" xfId="1" applyFont="1" applyFill="1" applyBorder="1" applyAlignment="1" applyProtection="1">
      <alignment horizontal="center"/>
      <protection locked="0"/>
    </xf>
    <xf numFmtId="0" fontId="70"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4" fillId="11" borderId="0" xfId="1" applyFont="1" applyFill="1" applyBorder="1" applyAlignment="1" applyProtection="1">
      <alignment horizontal="center"/>
      <protection locked="0"/>
    </xf>
    <xf numFmtId="0" fontId="83" fillId="0" borderId="0" xfId="0" applyFont="1" applyProtection="1">
      <protection locked="0"/>
    </xf>
    <xf numFmtId="0" fontId="84" fillId="0" borderId="0" xfId="0" applyFont="1" applyAlignment="1" applyProtection="1">
      <alignment horizontal="center"/>
      <protection locked="0"/>
    </xf>
    <xf numFmtId="0" fontId="84" fillId="0" borderId="0" xfId="0" applyFont="1" applyProtection="1">
      <protection locked="0"/>
    </xf>
    <xf numFmtId="43" fontId="84" fillId="0" borderId="0" xfId="0" applyNumberFormat="1" applyFont="1" applyProtection="1">
      <protection locked="0"/>
    </xf>
    <xf numFmtId="43" fontId="84" fillId="0" borderId="0" xfId="0" applyNumberFormat="1" applyFont="1" applyAlignment="1" applyProtection="1">
      <alignment horizontal="center"/>
      <protection locked="0"/>
    </xf>
    <xf numFmtId="43" fontId="85" fillId="0" borderId="0" xfId="1" applyFont="1" applyProtection="1">
      <protection locked="0"/>
    </xf>
    <xf numFmtId="0" fontId="69" fillId="0" borderId="0" xfId="0" applyFont="1" applyAlignment="1" applyProtection="1">
      <alignment vertical="center"/>
      <protection locked="0"/>
    </xf>
    <xf numFmtId="0" fontId="84" fillId="0" borderId="0" xfId="0" applyFont="1" applyAlignment="1" applyProtection="1">
      <alignment vertical="center"/>
      <protection locked="0"/>
    </xf>
    <xf numFmtId="43" fontId="84" fillId="0" borderId="0" xfId="1" applyFont="1" applyAlignment="1" applyProtection="1">
      <alignment vertical="center"/>
      <protection locked="0"/>
    </xf>
    <xf numFmtId="43" fontId="69" fillId="0" borderId="0" xfId="1" applyFont="1" applyAlignment="1" applyProtection="1">
      <alignment horizontal="center" vertical="center"/>
      <protection locked="0"/>
    </xf>
    <xf numFmtId="0" fontId="69" fillId="0" borderId="0" xfId="1" applyNumberFormat="1" applyFont="1" applyAlignment="1" applyProtection="1">
      <alignment horizontal="center" vertical="center"/>
      <protection locked="0"/>
    </xf>
    <xf numFmtId="1" fontId="69" fillId="0" borderId="0" xfId="1" applyNumberFormat="1" applyFont="1" applyAlignment="1" applyProtection="1">
      <alignment horizontal="center" vertical="center"/>
      <protection locked="0"/>
    </xf>
    <xf numFmtId="1" fontId="77" fillId="0" borderId="0" xfId="1" applyNumberFormat="1" applyFont="1" applyAlignment="1" applyProtection="1">
      <alignment horizontal="center" vertical="center"/>
      <protection locked="0"/>
    </xf>
    <xf numFmtId="43" fontId="70" fillId="0" borderId="0" xfId="1" applyFont="1" applyAlignment="1" applyProtection="1">
      <alignment vertical="center"/>
      <protection locked="0"/>
    </xf>
    <xf numFmtId="0" fontId="70"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5" fillId="0" borderId="0" xfId="1" applyFont="1" applyAlignment="1" applyProtection="1">
      <alignment horizontal="center" vertical="center"/>
      <protection locked="0"/>
    </xf>
    <xf numFmtId="4" fontId="69" fillId="0" borderId="0" xfId="1" applyNumberFormat="1" applyFont="1" applyAlignment="1" applyProtection="1">
      <alignment vertical="center"/>
      <protection locked="0"/>
    </xf>
    <xf numFmtId="43" fontId="62" fillId="0" borderId="0" xfId="1" applyFont="1" applyAlignment="1" applyProtection="1">
      <alignment vertical="center"/>
      <protection locked="0"/>
    </xf>
    <xf numFmtId="43" fontId="64"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70" fillId="0" borderId="0" xfId="1" applyNumberFormat="1" applyFont="1" applyAlignment="1" applyProtection="1">
      <alignment vertical="center"/>
      <protection locked="0"/>
    </xf>
    <xf numFmtId="4" fontId="69" fillId="0" borderId="0" xfId="1" applyNumberFormat="1" applyFont="1" applyAlignment="1" applyProtection="1">
      <alignment horizontal="center" vertical="center"/>
      <protection locked="0"/>
    </xf>
    <xf numFmtId="0" fontId="69" fillId="0" borderId="0" xfId="0" applyFont="1" applyAlignment="1">
      <alignment vertical="center"/>
    </xf>
    <xf numFmtId="43" fontId="45" fillId="33" borderId="66" xfId="1" applyFont="1" applyFill="1" applyBorder="1" applyAlignment="1" applyProtection="1">
      <alignment horizontal="center" vertical="center" shrinkToFit="1"/>
      <protection locked="0"/>
    </xf>
    <xf numFmtId="9" fontId="4" fillId="0" borderId="69"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72" fillId="11" borderId="0" xfId="1" applyNumberFormat="1" applyFont="1" applyFill="1" applyAlignment="1" applyProtection="1">
      <alignment horizontal="centerContinuous" vertical="center"/>
      <protection locked="0"/>
    </xf>
    <xf numFmtId="0" fontId="72" fillId="11" borderId="0" xfId="1" applyNumberFormat="1" applyFont="1" applyFill="1" applyAlignment="1" applyProtection="1">
      <alignment horizontal="center"/>
      <protection locked="0"/>
    </xf>
    <xf numFmtId="0" fontId="72" fillId="0" borderId="73" xfId="1" applyNumberFormat="1" applyFont="1" applyFill="1" applyBorder="1" applyAlignment="1" applyProtection="1">
      <alignment horizontal="center" vertical="center" shrinkToFit="1"/>
      <protection locked="0"/>
    </xf>
    <xf numFmtId="0" fontId="72" fillId="0" borderId="71" xfId="1" applyNumberFormat="1" applyFont="1" applyFill="1" applyBorder="1" applyAlignment="1" applyProtection="1">
      <alignment horizontal="center" vertical="center" shrinkToFit="1"/>
      <protection locked="0"/>
    </xf>
    <xf numFmtId="1" fontId="72" fillId="32" borderId="33" xfId="1" applyNumberFormat="1" applyFont="1" applyFill="1" applyBorder="1" applyAlignment="1" applyProtection="1">
      <alignment horizontal="center"/>
      <protection locked="0"/>
    </xf>
    <xf numFmtId="1" fontId="72" fillId="11" borderId="0" xfId="1" applyNumberFormat="1" applyFont="1" applyFill="1" applyBorder="1" applyAlignment="1" applyProtection="1">
      <alignment horizontal="center"/>
      <protection locked="0"/>
    </xf>
    <xf numFmtId="0" fontId="72" fillId="0" borderId="0" xfId="1" applyNumberFormat="1" applyFont="1" applyAlignment="1" applyProtection="1">
      <alignment horizontal="center"/>
      <protection locked="0"/>
    </xf>
    <xf numFmtId="0" fontId="72" fillId="0" borderId="0" xfId="1" applyNumberFormat="1" applyFont="1" applyAlignment="1" applyProtection="1">
      <alignment horizontal="center" vertical="center"/>
      <protection locked="0"/>
    </xf>
    <xf numFmtId="0" fontId="86" fillId="0" borderId="69" xfId="6" applyFont="1" applyFill="1" applyBorder="1" applyAlignment="1" applyProtection="1">
      <alignment vertical="center" shrinkToFit="1"/>
      <protection locked="0"/>
    </xf>
    <xf numFmtId="43" fontId="45" fillId="0" borderId="75" xfId="1" applyFont="1" applyFill="1" applyBorder="1" applyAlignment="1" applyProtection="1">
      <alignment horizontal="center" vertical="center" shrinkToFit="1"/>
      <protection locked="0"/>
    </xf>
    <xf numFmtId="1" fontId="45" fillId="26" borderId="66" xfId="1" quotePrefix="1" applyNumberFormat="1" applyFont="1" applyFill="1" applyBorder="1" applyAlignment="1" applyProtection="1">
      <alignment horizontal="center" vertical="center" shrinkToFit="1"/>
      <protection locked="0"/>
    </xf>
    <xf numFmtId="43" fontId="45" fillId="26" borderId="65" xfId="1" applyFont="1" applyFill="1" applyBorder="1" applyAlignment="1" applyProtection="1">
      <alignment horizontal="center" vertical="center" shrinkToFit="1"/>
      <protection locked="0"/>
    </xf>
    <xf numFmtId="43" fontId="45" fillId="33" borderId="65" xfId="1" applyFont="1" applyFill="1" applyBorder="1" applyAlignment="1" applyProtection="1">
      <alignment horizontal="center" vertical="center" shrinkToFit="1"/>
      <protection locked="0"/>
    </xf>
    <xf numFmtId="43" fontId="45" fillId="0" borderId="66" xfId="1" applyFont="1" applyFill="1" applyBorder="1" applyAlignment="1" applyProtection="1">
      <alignment horizontal="center" vertical="center" shrinkToFit="1"/>
      <protection locked="0"/>
    </xf>
    <xf numFmtId="43" fontId="69" fillId="25" borderId="66" xfId="1" applyFont="1" applyFill="1" applyBorder="1" applyAlignment="1" applyProtection="1">
      <alignment vertical="center"/>
      <protection locked="0"/>
    </xf>
    <xf numFmtId="43" fontId="45" fillId="0" borderId="3" xfId="1" applyFont="1" applyFill="1" applyBorder="1" applyAlignment="1" applyProtection="1">
      <alignment horizontal="center" vertical="center" shrinkToFit="1"/>
      <protection locked="0"/>
    </xf>
    <xf numFmtId="0" fontId="87" fillId="0" borderId="69" xfId="6" applyFont="1" applyFill="1" applyBorder="1" applyAlignment="1" applyProtection="1">
      <alignment vertical="center" shrinkToFit="1"/>
      <protection locked="0"/>
    </xf>
    <xf numFmtId="0" fontId="87" fillId="0" borderId="4" xfId="6" applyFont="1" applyFill="1" applyBorder="1" applyAlignment="1" applyProtection="1">
      <alignment horizontal="left" vertical="center" shrinkToFit="1"/>
      <protection locked="0"/>
    </xf>
    <xf numFmtId="0" fontId="87" fillId="0" borderId="69" xfId="6" applyFont="1" applyFill="1" applyBorder="1" applyAlignment="1" applyProtection="1">
      <alignment vertical="top" wrapText="1" shrinkToFit="1"/>
      <protection locked="0"/>
    </xf>
    <xf numFmtId="0" fontId="88" fillId="0" borderId="69" xfId="1" applyNumberFormat="1" applyFont="1" applyFill="1" applyBorder="1" applyAlignment="1" applyProtection="1">
      <alignment horizontal="center" vertical="center" shrinkToFit="1"/>
      <protection locked="0"/>
    </xf>
    <xf numFmtId="164" fontId="89" fillId="11" borderId="0" xfId="10" applyNumberFormat="1" applyFont="1" applyFill="1" applyAlignment="1"/>
    <xf numFmtId="43" fontId="30" fillId="18" borderId="46" xfId="11" applyFont="1" applyFill="1" applyBorder="1" applyAlignment="1">
      <alignment horizontal="left"/>
    </xf>
    <xf numFmtId="43" fontId="28" fillId="11" borderId="17" xfId="11" applyFont="1" applyFill="1" applyBorder="1" applyAlignment="1">
      <alignment horizontal="center" vertical="center" wrapText="1"/>
    </xf>
    <xf numFmtId="9" fontId="28" fillId="11" borderId="17" xfId="11" applyNumberFormat="1" applyFont="1" applyFill="1" applyBorder="1" applyAlignment="1">
      <alignment horizontal="center" vertical="center" wrapText="1"/>
    </xf>
    <xf numFmtId="43" fontId="28" fillId="11" borderId="0" xfId="11" applyFont="1" applyFill="1" applyBorder="1" applyAlignment="1"/>
    <xf numFmtId="0" fontId="80" fillId="0" borderId="0" xfId="0" applyFont="1" applyProtection="1">
      <protection locked="0"/>
    </xf>
    <xf numFmtId="0" fontId="73" fillId="5" borderId="4" xfId="8" applyFont="1" applyFill="1" applyBorder="1" applyAlignment="1" applyProtection="1">
      <alignment horizontal="center" vertical="center" wrapText="1"/>
      <protection locked="0"/>
    </xf>
    <xf numFmtId="0" fontId="79" fillId="0" borderId="67" xfId="1" applyNumberFormat="1" applyFont="1" applyFill="1" applyBorder="1" applyAlignment="1" applyProtection="1">
      <alignment horizontal="center" vertical="center" shrinkToFit="1"/>
      <protection locked="0"/>
    </xf>
    <xf numFmtId="0" fontId="74" fillId="0" borderId="67" xfId="1" applyNumberFormat="1" applyFont="1" applyFill="1" applyBorder="1" applyAlignment="1" applyProtection="1">
      <alignment horizontal="center" vertical="center" shrinkToFit="1"/>
      <protection locked="0"/>
    </xf>
    <xf numFmtId="0" fontId="8" fillId="10" borderId="0" xfId="10" applyFont="1" applyFill="1" applyBorder="1" applyAlignment="1"/>
    <xf numFmtId="43" fontId="90" fillId="11" borderId="0" xfId="11" applyFont="1" applyFill="1" applyBorder="1" applyAlignment="1"/>
    <xf numFmtId="0" fontId="79" fillId="0" borderId="117" xfId="1" applyNumberFormat="1" applyFont="1" applyFill="1" applyBorder="1" applyAlignment="1" applyProtection="1">
      <alignment horizontal="center" vertical="center" shrinkToFit="1"/>
      <protection locked="0"/>
    </xf>
    <xf numFmtId="0" fontId="74" fillId="0" borderId="117" xfId="1" applyNumberFormat="1" applyFont="1" applyFill="1" applyBorder="1" applyAlignment="1" applyProtection="1">
      <alignment horizontal="center" vertical="center" shrinkToFit="1"/>
      <protection locked="0"/>
    </xf>
    <xf numFmtId="0" fontId="79" fillId="0" borderId="121" xfId="1" applyNumberFormat="1" applyFont="1" applyFill="1" applyBorder="1" applyAlignment="1" applyProtection="1">
      <alignment horizontal="center" vertical="center" shrinkToFit="1"/>
      <protection locked="0"/>
    </xf>
    <xf numFmtId="0" fontId="74" fillId="0" borderId="121" xfId="1" applyNumberFormat="1" applyFont="1" applyFill="1" applyBorder="1" applyAlignment="1" applyProtection="1">
      <alignment horizontal="center" vertical="center" shrinkToFit="1"/>
      <protection locked="0"/>
    </xf>
    <xf numFmtId="0" fontId="74" fillId="0" borderId="118" xfId="1" applyNumberFormat="1" applyFont="1" applyFill="1" applyBorder="1" applyAlignment="1" applyProtection="1">
      <alignment horizontal="center" vertical="center" shrinkToFit="1"/>
      <protection locked="0"/>
    </xf>
    <xf numFmtId="0" fontId="79" fillId="0" borderId="123" xfId="1" applyNumberFormat="1" applyFont="1" applyFill="1" applyBorder="1" applyAlignment="1" applyProtection="1">
      <alignment horizontal="center" vertical="center" shrinkToFit="1"/>
      <protection locked="0"/>
    </xf>
    <xf numFmtId="0" fontId="74" fillId="0" borderId="123" xfId="1" applyNumberFormat="1" applyFont="1" applyFill="1" applyBorder="1" applyAlignment="1" applyProtection="1">
      <alignment horizontal="center" vertical="center" shrinkToFit="1"/>
      <protection locked="0"/>
    </xf>
    <xf numFmtId="0" fontId="74" fillId="0" borderId="124" xfId="1" applyNumberFormat="1" applyFont="1" applyFill="1" applyBorder="1" applyAlignment="1" applyProtection="1">
      <alignment horizontal="center" vertical="center" shrinkToFit="1"/>
      <protection locked="0"/>
    </xf>
    <xf numFmtId="0" fontId="74" fillId="0" borderId="119" xfId="1" applyNumberFormat="1" applyFont="1" applyFill="1" applyBorder="1" applyAlignment="1" applyProtection="1">
      <alignment horizontal="center" vertical="center" shrinkToFit="1"/>
      <protection locked="0"/>
    </xf>
    <xf numFmtId="0" fontId="74" fillId="0" borderId="126" xfId="1" applyNumberFormat="1" applyFont="1" applyFill="1" applyBorder="1" applyAlignment="1" applyProtection="1">
      <alignment horizontal="center" vertical="center" shrinkToFit="1"/>
      <protection locked="0"/>
    </xf>
    <xf numFmtId="0" fontId="59" fillId="11" borderId="0" xfId="12" applyFont="1" applyFill="1"/>
    <xf numFmtId="43" fontId="82" fillId="37" borderId="59" xfId="1" applyFont="1" applyFill="1" applyBorder="1" applyAlignment="1" applyProtection="1">
      <alignment horizontal="center" vertical="center"/>
      <protection locked="0"/>
    </xf>
    <xf numFmtId="43" fontId="82" fillId="37" borderId="61" xfId="1" applyFont="1" applyFill="1" applyBorder="1" applyAlignment="1" applyProtection="1">
      <alignment horizontal="center" vertical="center"/>
      <protection locked="0"/>
    </xf>
    <xf numFmtId="43" fontId="82" fillId="37" borderId="60" xfId="1" applyFont="1" applyFill="1" applyBorder="1" applyAlignment="1" applyProtection="1">
      <alignment horizontal="center" vertical="center"/>
      <protection locked="0"/>
    </xf>
    <xf numFmtId="43" fontId="82" fillId="36" borderId="59" xfId="1" applyFont="1" applyFill="1" applyBorder="1" applyAlignment="1" applyProtection="1">
      <alignment horizontal="center" vertical="center"/>
      <protection locked="0"/>
    </xf>
    <xf numFmtId="43" fontId="82" fillId="36" borderId="61" xfId="1" applyFont="1" applyFill="1" applyBorder="1" applyAlignment="1" applyProtection="1">
      <alignment horizontal="center" vertical="center"/>
      <protection locked="0"/>
    </xf>
    <xf numFmtId="43" fontId="82" fillId="36" borderId="60" xfId="1" applyFont="1" applyFill="1" applyBorder="1" applyAlignment="1" applyProtection="1">
      <alignment horizontal="center" vertical="center"/>
      <protection locked="0"/>
    </xf>
    <xf numFmtId="0" fontId="67" fillId="11" borderId="0" xfId="3" applyFont="1" applyFill="1" applyBorder="1" applyAlignment="1" applyProtection="1">
      <alignment horizontal="left"/>
      <protection locked="0"/>
    </xf>
    <xf numFmtId="43" fontId="90" fillId="11" borderId="0" xfId="11" applyFont="1" applyFill="1" applyBorder="1" applyAlignment="1">
      <alignment horizontal="left" vertical="center" wrapText="1"/>
    </xf>
    <xf numFmtId="43" fontId="28" fillId="11" borderId="0" xfId="11" applyFont="1" applyFill="1" applyBorder="1" applyAlignment="1">
      <alignment horizontal="left" vertical="center" wrapText="1"/>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xf numFmtId="164" fontId="28" fillId="30" borderId="0" xfId="10" applyNumberFormat="1" applyFont="1" applyFill="1" applyAlignment="1"/>
    <xf numFmtId="0" fontId="28" fillId="27" borderId="62" xfId="10" applyFont="1" applyFill="1" applyBorder="1" applyAlignment="1">
      <alignment horizontal="center" vertical="center"/>
    </xf>
    <xf numFmtId="0" fontId="91" fillId="11" borderId="0" xfId="12" applyFont="1" applyFill="1"/>
    <xf numFmtId="0" fontId="92" fillId="28" borderId="81" xfId="12" applyFont="1" applyFill="1" applyBorder="1" applyAlignment="1">
      <alignment horizontal="left" vertical="center"/>
    </xf>
    <xf numFmtId="0" fontId="92" fillId="28" borderId="97" xfId="12" applyFont="1" applyFill="1" applyBorder="1" applyAlignment="1">
      <alignment horizontal="center" vertical="center"/>
    </xf>
    <xf numFmtId="0" fontId="92" fillId="28" borderId="49" xfId="12" applyFont="1" applyFill="1" applyBorder="1" applyAlignment="1">
      <alignment horizontal="center" vertical="center"/>
    </xf>
    <xf numFmtId="0" fontId="92" fillId="11" borderId="0" xfId="12" applyFont="1" applyFill="1" applyAlignment="1">
      <alignment horizontal="center" vertical="center"/>
    </xf>
    <xf numFmtId="0" fontId="91" fillId="0" borderId="0" xfId="12" applyFont="1"/>
    <xf numFmtId="0" fontId="92" fillId="11" borderId="0" xfId="10" applyFont="1" applyFill="1" applyAlignment="1"/>
    <xf numFmtId="0" fontId="92" fillId="28" borderId="98" xfId="12" applyFont="1" applyFill="1" applyBorder="1" applyAlignment="1">
      <alignment horizontal="center" vertical="center"/>
    </xf>
    <xf numFmtId="0" fontId="92" fillId="28" borderId="17" xfId="12" applyFont="1" applyFill="1" applyBorder="1" applyAlignment="1">
      <alignment horizontal="center" vertical="center"/>
    </xf>
    <xf numFmtId="0" fontId="92" fillId="28" borderId="99" xfId="12" applyFont="1" applyFill="1" applyBorder="1" applyAlignment="1">
      <alignment horizontal="center" vertical="center"/>
    </xf>
    <xf numFmtId="0" fontId="92" fillId="0" borderId="0" xfId="10" applyFont="1" applyAlignment="1"/>
    <xf numFmtId="0" fontId="91" fillId="11" borderId="0" xfId="12" applyFont="1" applyFill="1" applyAlignment="1">
      <alignment vertical="center"/>
    </xf>
    <xf numFmtId="0" fontId="92" fillId="28" borderId="100" xfId="12" applyFont="1" applyFill="1" applyBorder="1" applyAlignment="1">
      <alignment horizontal="center" vertical="center"/>
    </xf>
    <xf numFmtId="0" fontId="92" fillId="28" borderId="89" xfId="12" applyFont="1" applyFill="1" applyBorder="1" applyAlignment="1">
      <alignment horizontal="center" vertical="center"/>
    </xf>
    <xf numFmtId="43" fontId="92" fillId="28" borderId="89" xfId="11" applyFont="1" applyFill="1" applyBorder="1" applyAlignment="1">
      <alignment horizontal="center" vertical="center"/>
    </xf>
    <xf numFmtId="0" fontId="92" fillId="28" borderId="90" xfId="12" applyFont="1" applyFill="1" applyBorder="1" applyAlignment="1">
      <alignment horizontal="center" vertical="center"/>
    </xf>
    <xf numFmtId="0" fontId="91"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5" borderId="17" xfId="10" applyFont="1" applyFill="1" applyBorder="1" applyAlignment="1"/>
    <xf numFmtId="0" fontId="37" fillId="10" borderId="0" xfId="10" applyFont="1" applyFill="1"/>
    <xf numFmtId="0" fontId="27" fillId="11" borderId="22" xfId="10" applyFont="1" applyFill="1" applyBorder="1" applyAlignment="1">
      <alignment horizontal="center"/>
    </xf>
    <xf numFmtId="0" fontId="30" fillId="11" borderId="24" xfId="10" applyFont="1" applyFill="1" applyBorder="1" applyAlignment="1">
      <alignment wrapText="1"/>
    </xf>
    <xf numFmtId="0" fontId="27" fillId="11" borderId="26" xfId="10" applyFont="1" applyFill="1" applyBorder="1" applyAlignment="1">
      <alignment horizontal="center"/>
    </xf>
    <xf numFmtId="0" fontId="30" fillId="11" borderId="24"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0" fontId="30" fillId="11" borderId="32" xfId="10" applyFont="1" applyFill="1" applyBorder="1" applyAlignment="1">
      <alignment horizontal="right" wrapText="1"/>
    </xf>
    <xf numFmtId="41" fontId="30" fillId="5" borderId="24"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4" xfId="10" applyFont="1" applyFill="1" applyBorder="1" applyAlignment="1">
      <alignment horizontal="center" vertical="top" wrapText="1"/>
    </xf>
    <xf numFmtId="0" fontId="30" fillId="5" borderId="4" xfId="10" applyFont="1" applyFill="1" applyBorder="1" applyAlignment="1">
      <alignment horizontal="center" vertical="top" wrapText="1"/>
    </xf>
    <xf numFmtId="17" fontId="74" fillId="38" borderId="66" xfId="1" quotePrefix="1" applyNumberFormat="1" applyFont="1" applyFill="1" applyBorder="1" applyAlignment="1" applyProtection="1">
      <alignment horizontal="center" vertical="center" shrinkToFit="1"/>
      <protection locked="0"/>
    </xf>
    <xf numFmtId="10" fontId="72" fillId="38" borderId="72" xfId="1" quotePrefix="1" applyNumberFormat="1" applyFont="1" applyFill="1" applyBorder="1" applyAlignment="1" applyProtection="1">
      <alignment horizontal="center" vertical="center" shrinkToFit="1"/>
      <protection locked="0"/>
    </xf>
    <xf numFmtId="0" fontId="72" fillId="38" borderId="49" xfId="1" applyNumberFormat="1" applyFont="1" applyFill="1" applyBorder="1" applyAlignment="1" applyProtection="1">
      <alignment horizontal="center" vertical="top" wrapText="1"/>
      <protection locked="0"/>
    </xf>
    <xf numFmtId="0" fontId="72" fillId="38" borderId="118" xfId="1" applyNumberFormat="1" applyFont="1" applyFill="1" applyBorder="1" applyAlignment="1" applyProtection="1">
      <alignment horizontal="center" vertical="top" wrapText="1"/>
      <protection locked="0"/>
    </xf>
    <xf numFmtId="0" fontId="72" fillId="38" borderId="0" xfId="1" applyNumberFormat="1" applyFont="1" applyFill="1" applyBorder="1" applyAlignment="1" applyProtection="1">
      <alignment horizontal="center" vertical="top" wrapText="1"/>
      <protection locked="0"/>
    </xf>
    <xf numFmtId="0" fontId="72" fillId="38" borderId="119" xfId="1" applyNumberFormat="1" applyFont="1" applyFill="1" applyBorder="1" applyAlignment="1" applyProtection="1">
      <alignment horizontal="center" vertical="top" wrapText="1"/>
      <protection locked="0"/>
    </xf>
    <xf numFmtId="0" fontId="72" fillId="38" borderId="120" xfId="1" applyNumberFormat="1" applyFont="1" applyFill="1" applyBorder="1" applyAlignment="1" applyProtection="1">
      <alignment horizontal="center" vertical="top" wrapText="1"/>
      <protection locked="0"/>
    </xf>
    <xf numFmtId="0" fontId="74" fillId="38" borderId="85" xfId="1" applyNumberFormat="1" applyFont="1" applyFill="1" applyBorder="1" applyAlignment="1" applyProtection="1">
      <alignment horizontal="center" vertical="center" shrinkToFit="1"/>
      <protection locked="0"/>
    </xf>
    <xf numFmtId="0" fontId="74" fillId="38" borderId="125" xfId="1" applyNumberFormat="1" applyFont="1" applyFill="1" applyBorder="1" applyAlignment="1" applyProtection="1">
      <alignment horizontal="center" vertical="center" shrinkToFit="1"/>
      <protection locked="0"/>
    </xf>
    <xf numFmtId="0" fontId="74" fillId="38" borderId="122" xfId="1" applyNumberFormat="1" applyFont="1" applyFill="1" applyBorder="1" applyAlignment="1" applyProtection="1">
      <alignment horizontal="center" vertical="center" shrinkToFit="1"/>
      <protection locked="0"/>
    </xf>
    <xf numFmtId="0" fontId="74" fillId="38" borderId="116" xfId="1" applyNumberFormat="1" applyFont="1" applyFill="1" applyBorder="1" applyAlignment="1" applyProtection="1">
      <alignment horizontal="center" vertical="center" shrinkToFit="1"/>
      <protection locked="0"/>
    </xf>
    <xf numFmtId="0" fontId="74" fillId="38" borderId="115" xfId="1" applyNumberFormat="1" applyFont="1" applyFill="1" applyBorder="1" applyAlignment="1" applyProtection="1">
      <alignment horizontal="center" vertical="center" shrinkToFit="1"/>
      <protection locked="0"/>
    </xf>
    <xf numFmtId="43" fontId="74" fillId="38" borderId="125" xfId="1" applyFont="1" applyFill="1" applyBorder="1" applyAlignment="1" applyProtection="1">
      <alignment horizontal="center" vertical="center" shrinkToFit="1"/>
      <protection locked="0"/>
    </xf>
    <xf numFmtId="43" fontId="74" fillId="38" borderId="116" xfId="1" applyFont="1" applyFill="1" applyBorder="1" applyAlignment="1" applyProtection="1">
      <alignment horizontal="center" vertical="center" shrinkToFit="1"/>
      <protection locked="0"/>
    </xf>
    <xf numFmtId="0" fontId="72" fillId="38" borderId="71" xfId="1" applyNumberFormat="1" applyFont="1" applyFill="1" applyBorder="1" applyAlignment="1" applyProtection="1">
      <alignment horizontal="center" vertical="top" wrapText="1"/>
      <protection locked="0"/>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1">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numFmt numFmtId="0" formatCode="General"/>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FDE9F4"/>
      <color rgb="FFFCDCEE"/>
      <color rgb="FF0000FF"/>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1358900</xdr:colOff>
      <xdr:row>73</xdr:row>
      <xdr:rowOff>140758</xdr:rowOff>
    </xdr:from>
    <xdr:to>
      <xdr:col>4</xdr:col>
      <xdr:colOff>428625</xdr:colOff>
      <xdr:row>74</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74</xdr:row>
      <xdr:rowOff>107</xdr:rowOff>
    </xdr:from>
    <xdr:to>
      <xdr:col>9</xdr:col>
      <xdr:colOff>693618</xdr:colOff>
      <xdr:row>74</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125</xdr:row>
      <xdr:rowOff>35859</xdr:rowOff>
    </xdr:from>
    <xdr:to>
      <xdr:col>269</xdr:col>
      <xdr:colOff>244756</xdr:colOff>
      <xdr:row>141</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M58" totalsRowShown="0" headerRowDxfId="110" dataDxfId="109" totalsRowDxfId="107" tableBorderDxfId="108" totalsRowBorderDxfId="106">
  <autoFilter ref="A6:AM58" xr:uid="{3C878C68-A372-446C-8256-BD036B6D96E7}"/>
  <tableColumns count="39">
    <tableColumn id="1" xr3:uid="{7A68EB0F-4EB7-4EA0-B847-CDCEDE1995D9}" name="ลำดับ" dataDxfId="105" totalsRowDxfId="104"/>
    <tableColumn id="7" xr3:uid="{8F6F8C50-9D55-461F-83AF-B2E29A90BB45}" name="รหัสลูกค้า" dataDxfId="103" totalsRowDxfId="102" dataCellStyle="Total"/>
    <tableColumn id="2" xr3:uid="{E91B7877-DC71-4CB9-BA7F-36CA618C37EA}" name="ชื่อเจ้าของโครงการ" dataDxfId="101" totalsRowDxfId="100"/>
    <tableColumn id="10" xr3:uid="{19271DD2-0A59-4759-AE5D-1AB63890B014}" name="Sales" dataDxfId="99" dataCellStyle="Total"/>
    <tableColumn id="5" xr3:uid="{A5848258-9033-4D9F-8296-8ECDB5D9D258}" name="บริการประเภท" dataDxfId="98" totalsRowDxfId="97" dataCellStyle="Total"/>
    <tableColumn id="17" xr3:uid="{8592FD8A-BED8-4DA3-ABB4-411909CBDC12}" name="เดือนที่ปิดการขาย" dataDxfId="96" totalsRowDxfId="95"/>
    <tableColumn id="24" xr3:uid="{4787A654-053B-4970-BE8C-94B3928D6967}" name="ระยะเวลาสัญญา_x000a_(เดือน)" dataDxfId="94" totalsRowDxfId="93"/>
    <tableColumn id="23" xr3:uid="{71B0D79B-1882-4676-A4CD-587CCE651620}" name="% ค่าคอมค่าบริการ_x000a_(อัตราก้าวหน้า)" dataDxfId="92"/>
    <tableColumn id="20" xr3:uid="{48B19DD3-4849-4286-91E3-FE1F20647640}" name="เดือนที่เริ่มเก็บ_x000a_ค่าบริการ" dataDxfId="91" totalsRowDxfId="90"/>
    <tableColumn id="19" xr3:uid="{4D64D369-8CC0-48C9-8408-2623DCFB69A3}" name="ค่าบริการเฉลี่ยต่อเดือน" dataDxfId="89" totalsRowDxfId="88"/>
    <tableColumn id="18" xr3:uid="{7B85F650-D5D4-407F-894D-50A267647FC2}" name="หัก ณ ที่จ่าย_x000a_(ค่าบริการ)" dataDxfId="87" totalsRowDxfId="86"/>
    <tableColumn id="27" xr3:uid="{8F50D093-5CBA-4540-8D5B-69F0ABCFDE07}" name="มูลค่าหัก 3%" dataDxfId="85" totalsRowDxfId="84"/>
    <tableColumn id="25" xr3:uid="{448C2BE4-700B-472E-8A90-659E7D16D1C0}" name="ค่าบริการเฉลียรายเดือนตาม Package_x000a_(เรียกเก็บสุทธิ)" dataDxfId="83" totalsRowDxfId="82" dataCellStyle="Comma"/>
    <tableColumn id="28" xr3:uid="{49720FE6-4F55-473F-8AC8-5EFA4FCF11EF}" name="Total_x000a_รายการเบิก_x000a_คอมขาย_x000a_(1)" dataDxfId="81" totalsRowDxfId="80"/>
    <tableColumn id="9" xr3:uid="{E8C32789-49FE-47D8-9CC6-E6DC2865932C}" name="แบ่งจ่าย/งวด_x000a_(ตามปีสัญญา)" dataDxfId="79" totalsRowDxfId="78" dataCellStyle="Comma"/>
    <tableColumn id="36" xr3:uid="{1BD716E4-B9C4-4CAC-97E3-608F6BA2E34B}" name="ปีที่1"/>
    <tableColumn id="39" xr3:uid="{86B4988D-D2E9-4E82-87A1-9E8EB4FBD369}" name="ปีที่2"/>
    <tableColumn id="38" xr3:uid="{6FC74DCC-7D98-49E1-9DBE-381609B4257F}" name="ปีที่3" totalsRowDxfId="77"/>
    <tableColumn id="37" xr3:uid="{A23F8696-5FCA-4591-B4A1-883EF138DC52}" name="ปีที่4" totalsRowDxfId="76"/>
    <tableColumn id="21" xr3:uid="{C2838910-2F21-4DDC-8C73-E29A1127C374}" name="ปีที่5" totalsRowDxfId="75"/>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12" xr3:uid="{23D9706D-4622-457E-9E38-B7755D1A566A}" name="Column1"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2" sqref="C12"/>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7" t="s">
        <v>48</v>
      </c>
      <c r="D1" s="402" t="s">
        <v>196</v>
      </c>
      <c r="F1" s="401" t="s">
        <v>193</v>
      </c>
      <c r="G1" s="401" t="s">
        <v>209</v>
      </c>
    </row>
    <row r="2" spans="1:7" ht="13.8">
      <c r="A2" s="337" t="s">
        <v>155</v>
      </c>
      <c r="B2" s="338" t="s">
        <v>70</v>
      </c>
      <c r="C2" s="388" t="s">
        <v>45</v>
      </c>
      <c r="D2" s="339" t="s">
        <v>197</v>
      </c>
      <c r="F2" s="399">
        <v>45566</v>
      </c>
      <c r="G2" s="400">
        <v>6.6000000000000003E-2</v>
      </c>
    </row>
    <row r="3" spans="1:7" ht="13.8">
      <c r="A3" s="337" t="s">
        <v>155</v>
      </c>
      <c r="B3" s="338" t="s">
        <v>71</v>
      </c>
      <c r="C3" s="388" t="s">
        <v>46</v>
      </c>
      <c r="D3" s="338" t="s">
        <v>198</v>
      </c>
      <c r="F3" s="399">
        <v>45597</v>
      </c>
      <c r="G3" s="340"/>
    </row>
    <row r="4" spans="1:7" ht="13.8">
      <c r="A4" s="337" t="s">
        <v>155</v>
      </c>
      <c r="B4" s="338" t="s">
        <v>73</v>
      </c>
      <c r="C4" s="388" t="s">
        <v>220</v>
      </c>
      <c r="F4" s="399">
        <v>45627</v>
      </c>
      <c r="G4" s="340"/>
    </row>
    <row r="5" spans="1:7" ht="13.8">
      <c r="A5" s="337" t="s">
        <v>17</v>
      </c>
      <c r="B5" s="338" t="s">
        <v>74</v>
      </c>
      <c r="C5" s="388" t="s">
        <v>221</v>
      </c>
      <c r="F5" s="399">
        <v>45658</v>
      </c>
      <c r="G5" s="340"/>
    </row>
    <row r="6" spans="1:7" ht="13.8">
      <c r="A6" s="337" t="s">
        <v>17</v>
      </c>
      <c r="B6" s="338" t="s">
        <v>75</v>
      </c>
      <c r="C6" s="339" t="s">
        <v>156</v>
      </c>
      <c r="F6" s="399">
        <v>45689</v>
      </c>
      <c r="G6" s="340"/>
    </row>
    <row r="7" spans="1:7" ht="13.8">
      <c r="A7" s="337" t="s">
        <v>17</v>
      </c>
      <c r="B7" s="338" t="s">
        <v>154</v>
      </c>
      <c r="C7" s="339" t="s">
        <v>157</v>
      </c>
      <c r="F7" s="399">
        <v>45717</v>
      </c>
      <c r="G7" s="340"/>
    </row>
    <row r="8" spans="1:7" ht="13.8">
      <c r="A8" s="337" t="s">
        <v>17</v>
      </c>
      <c r="B8" s="338" t="s">
        <v>130</v>
      </c>
      <c r="C8" s="339" t="s">
        <v>59</v>
      </c>
      <c r="F8" s="399">
        <v>45748</v>
      </c>
      <c r="G8" s="340"/>
    </row>
    <row r="9" spans="1:7" ht="13.8">
      <c r="A9" s="337" t="s">
        <v>17</v>
      </c>
      <c r="B9" s="338" t="s">
        <v>153</v>
      </c>
      <c r="C9" s="339" t="s">
        <v>54</v>
      </c>
      <c r="F9" s="399">
        <v>45778</v>
      </c>
      <c r="G9" s="340"/>
    </row>
    <row r="10" spans="1:7" ht="13.8">
      <c r="A10" s="337" t="s">
        <v>78</v>
      </c>
      <c r="B10" s="338" t="s">
        <v>72</v>
      </c>
      <c r="C10" s="339" t="s">
        <v>49</v>
      </c>
      <c r="F10" s="399">
        <v>45809</v>
      </c>
      <c r="G10" s="340"/>
    </row>
    <row r="11" spans="1:7" ht="13.8">
      <c r="A11" s="337" t="s">
        <v>78</v>
      </c>
      <c r="B11" s="340" t="s">
        <v>68</v>
      </c>
      <c r="C11" s="339" t="s">
        <v>50</v>
      </c>
      <c r="F11" s="399">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R64"/>
  <sheetViews>
    <sheetView tabSelected="1" zoomScale="70" zoomScaleNormal="70" workbookViewId="0">
      <pane xSplit="6" ySplit="6" topLeftCell="G7" activePane="bottomRight" state="frozen"/>
      <selection pane="topRight" activeCell="G1" sqref="G1"/>
      <selection pane="bottomLeft" activeCell="A7" sqref="A7"/>
      <selection pane="bottomRight" activeCell="M17" sqref="M17"/>
    </sheetView>
  </sheetViews>
  <sheetFormatPr defaultColWidth="0" defaultRowHeight="0" customHeight="1" zeroHeight="1"/>
  <cols>
    <col min="1" max="1" width="8.109375" style="549" customWidth="1"/>
    <col min="2" max="2" width="19.33203125" style="549" bestFit="1" customWidth="1"/>
    <col min="3" max="3" width="46.77734375" style="700" customWidth="1"/>
    <col min="4" max="4" width="21" style="699" customWidth="1"/>
    <col min="5" max="5" width="16.6640625" style="626" customWidth="1"/>
    <col min="6" max="6" width="13.21875" style="626" customWidth="1"/>
    <col min="7" max="7" width="12.109375" style="627" customWidth="1"/>
    <col min="8" max="8" width="17" style="732" customWidth="1"/>
    <col min="9" max="9" width="14.77734375" style="564" customWidth="1"/>
    <col min="10" max="10" width="14.6640625" style="628" customWidth="1"/>
    <col min="11" max="11" width="14.5546875" style="629" customWidth="1"/>
    <col min="12" max="12" width="17.109375" style="629" customWidth="1"/>
    <col min="13" max="13" width="19.5546875" style="628" customWidth="1"/>
    <col min="14" max="14" width="19" style="630" customWidth="1"/>
    <col min="15" max="15" width="10.77734375" style="631" customWidth="1"/>
    <col min="16" max="20" width="9.88671875" style="631" customWidth="1"/>
    <col min="21" max="21" width="19.33203125" style="156" customWidth="1"/>
    <col min="22" max="22" width="10.33203125" style="414" customWidth="1"/>
    <col min="23" max="23" width="13.21875" style="414" customWidth="1"/>
    <col min="24" max="25" width="19.33203125" style="156" customWidth="1"/>
    <col min="26" max="26" width="19.33203125" style="414" customWidth="1"/>
    <col min="27" max="28" width="17.33203125" style="632" customWidth="1"/>
    <col min="29" max="29" width="22.6640625" style="630" customWidth="1"/>
    <col min="30" max="30" width="19.33203125" style="332" customWidth="1"/>
    <col min="31" max="31" width="11.21875" style="417" customWidth="1"/>
    <col min="32" max="32" width="12.6640625" style="417" customWidth="1"/>
    <col min="33" max="33" width="19.33203125" style="157" customWidth="1"/>
    <col min="34" max="34" width="20.44140625" style="332" customWidth="1"/>
    <col min="35" max="35" width="20.109375" style="563" customWidth="1"/>
    <col min="36" max="36" width="22.21875" style="632" bestFit="1" customWidth="1"/>
    <col min="37" max="37" width="22" style="632" customWidth="1"/>
    <col min="38" max="38" width="17" style="565" customWidth="1"/>
    <col min="39" max="39" width="25.5546875" style="636" customWidth="1"/>
    <col min="40" max="40" width="9.33203125" style="549" customWidth="1"/>
    <col min="41" max="41" width="16.6640625" style="549" customWidth="1"/>
    <col min="42" max="42" width="17.44140625" style="549" customWidth="1"/>
    <col min="43" max="43" width="12.21875" style="549" customWidth="1"/>
    <col min="44" max="44" width="15.44140625" style="549" customWidth="1"/>
    <col min="45" max="47" width="15.33203125" style="549" customWidth="1"/>
    <col min="48" max="48" width="17" style="549" customWidth="1"/>
    <col min="49" max="49" width="0" style="549" hidden="1"/>
    <col min="50" max="51" width="15.5546875" style="549" customWidth="1"/>
    <col min="52" max="52" width="13.6640625" style="549" customWidth="1"/>
    <col min="53" max="53" width="9" style="549" customWidth="1"/>
    <col min="54" max="54" width="49.88671875" style="549" customWidth="1"/>
    <col min="55" max="55" width="0" style="549" hidden="1"/>
    <col min="56" max="57" width="15.88671875" style="549" customWidth="1"/>
    <col min="58" max="58" width="14.5546875" style="549" customWidth="1"/>
    <col min="59" max="59" width="16.33203125" style="549" customWidth="1"/>
    <col min="60" max="60" width="18.109375" style="549" customWidth="1"/>
    <col min="61" max="61" width="14.109375" style="549" customWidth="1"/>
    <col min="62" max="288" width="0" style="549" hidden="1"/>
    <col min="289" max="289" width="7.5546875" style="549" customWidth="1"/>
    <col min="290" max="290" width="36.77734375" style="549" customWidth="1"/>
    <col min="291" max="292" width="0" style="549" hidden="1"/>
    <col min="293" max="293" width="16.6640625" style="549" customWidth="1"/>
    <col min="294" max="294" width="17.33203125" style="549" customWidth="1"/>
    <col min="295" max="295" width="15.5546875" style="549" customWidth="1"/>
    <col min="296" max="296" width="0" style="549" hidden="1"/>
    <col min="297" max="297" width="16.6640625" style="549" customWidth="1"/>
    <col min="298" max="298" width="17.44140625" style="549" customWidth="1"/>
    <col min="299" max="300" width="0" style="549" hidden="1"/>
    <col min="301" max="303" width="15.33203125" style="549" customWidth="1"/>
    <col min="304" max="304" width="17" style="549" customWidth="1"/>
    <col min="305" max="305" width="0" style="549" hidden="1"/>
    <col min="306" max="307" width="15.5546875" style="549" customWidth="1"/>
    <col min="308" max="308" width="13.6640625" style="549" customWidth="1"/>
    <col min="309" max="309" width="9" style="549" customWidth="1"/>
    <col min="310" max="310" width="49.88671875" style="549" customWidth="1"/>
    <col min="311" max="311" width="0" style="549" hidden="1"/>
    <col min="312" max="313" width="15.88671875" style="549" customWidth="1"/>
    <col min="314" max="314" width="14.5546875" style="549" customWidth="1"/>
    <col min="315" max="315" width="16.33203125" style="549" customWidth="1"/>
    <col min="316" max="316" width="18.109375" style="549" customWidth="1"/>
    <col min="317" max="317" width="14.109375" style="549" customWidth="1"/>
    <col min="318" max="544" width="0" style="549" hidden="1"/>
    <col min="545" max="545" width="7.5546875" style="549" customWidth="1"/>
    <col min="546" max="546" width="36.77734375" style="549" customWidth="1"/>
    <col min="547" max="548" width="0" style="549" hidden="1"/>
    <col min="549" max="549" width="16.6640625" style="549" customWidth="1"/>
    <col min="550" max="550" width="17.33203125" style="549" customWidth="1"/>
    <col min="551" max="551" width="15.5546875" style="549" customWidth="1"/>
    <col min="552" max="552" width="0" style="549" hidden="1"/>
    <col min="553" max="553" width="16.6640625" style="549" customWidth="1"/>
    <col min="554" max="554" width="17.44140625" style="549" customWidth="1"/>
    <col min="555" max="556" width="0" style="549" hidden="1"/>
    <col min="557" max="559" width="15.33203125" style="549" customWidth="1"/>
    <col min="560" max="560" width="17" style="549" customWidth="1"/>
    <col min="561" max="561" width="0" style="549" hidden="1"/>
    <col min="562" max="563" width="15.5546875" style="549" customWidth="1"/>
    <col min="564" max="564" width="13.6640625" style="549" customWidth="1"/>
    <col min="565" max="565" width="9" style="549" customWidth="1"/>
    <col min="566" max="566" width="49.88671875" style="549" customWidth="1"/>
    <col min="567" max="567" width="0" style="549" hidden="1"/>
    <col min="568" max="569" width="15.88671875" style="549" customWidth="1"/>
    <col min="570" max="570" width="14.5546875" style="549" customWidth="1"/>
    <col min="571" max="571" width="16.33203125" style="549" customWidth="1"/>
    <col min="572" max="572" width="18.109375" style="549" customWidth="1"/>
    <col min="573" max="573" width="14.109375" style="549" customWidth="1"/>
    <col min="574" max="800" width="0" style="549" hidden="1"/>
    <col min="801" max="801" width="7.5546875" style="549" customWidth="1"/>
    <col min="802" max="802" width="36.77734375" style="549" customWidth="1"/>
    <col min="803" max="804" width="0" style="549" hidden="1"/>
    <col min="805" max="805" width="16.6640625" style="549" customWidth="1"/>
    <col min="806" max="806" width="17.33203125" style="549" customWidth="1"/>
    <col min="807" max="807" width="15.5546875" style="549" customWidth="1"/>
    <col min="808" max="808" width="0" style="549" hidden="1"/>
    <col min="809" max="809" width="16.6640625" style="549" customWidth="1"/>
    <col min="810" max="810" width="17.44140625" style="549" customWidth="1"/>
    <col min="811" max="812" width="0" style="549" hidden="1"/>
    <col min="813" max="815" width="15.33203125" style="549" customWidth="1"/>
    <col min="816" max="816" width="17" style="549" customWidth="1"/>
    <col min="817" max="817" width="0" style="549" hidden="1"/>
    <col min="818" max="819" width="15.5546875" style="549" customWidth="1"/>
    <col min="820" max="820" width="13.6640625" style="549" customWidth="1"/>
    <col min="821" max="821" width="9" style="549" customWidth="1"/>
    <col min="822" max="822" width="49.88671875" style="549" customWidth="1"/>
    <col min="823" max="823" width="0" style="549" hidden="1"/>
    <col min="824" max="825" width="15.88671875" style="549" customWidth="1"/>
    <col min="826" max="826" width="14.5546875" style="549" customWidth="1"/>
    <col min="827" max="827" width="16.33203125" style="549" customWidth="1"/>
    <col min="828" max="828" width="18.109375" style="549" customWidth="1"/>
    <col min="829" max="829" width="14.109375" style="549" customWidth="1"/>
    <col min="830" max="1056" width="0" style="549" hidden="1"/>
    <col min="1057" max="1057" width="7.5546875" style="549" customWidth="1"/>
    <col min="1058" max="1058" width="36.77734375" style="549" customWidth="1"/>
    <col min="1059" max="1060" width="0" style="549" hidden="1"/>
    <col min="1061" max="1061" width="16.6640625" style="549" customWidth="1"/>
    <col min="1062" max="1062" width="17.33203125" style="549" customWidth="1"/>
    <col min="1063" max="1063" width="15.5546875" style="549" customWidth="1"/>
    <col min="1064" max="1064" width="0" style="549" hidden="1"/>
    <col min="1065" max="1065" width="16.6640625" style="549" customWidth="1"/>
    <col min="1066" max="1066" width="17.44140625" style="549" customWidth="1"/>
    <col min="1067" max="1068" width="0" style="549" hidden="1"/>
    <col min="1069" max="1071" width="15.33203125" style="549" customWidth="1"/>
    <col min="1072" max="1072" width="17" style="549" customWidth="1"/>
    <col min="1073" max="1073" width="0" style="549" hidden="1"/>
    <col min="1074" max="1075" width="15.5546875" style="549" customWidth="1"/>
    <col min="1076" max="1076" width="13.6640625" style="549" customWidth="1"/>
    <col min="1077" max="1077" width="9" style="549" customWidth="1"/>
    <col min="1078" max="1078" width="49.88671875" style="549" customWidth="1"/>
    <col min="1079" max="1079" width="0" style="549" hidden="1"/>
    <col min="1080" max="1081" width="15.88671875" style="549" customWidth="1"/>
    <col min="1082" max="1082" width="14.5546875" style="549" customWidth="1"/>
    <col min="1083" max="1083" width="16.33203125" style="549" customWidth="1"/>
    <col min="1084" max="1084" width="18.109375" style="549" customWidth="1"/>
    <col min="1085" max="1085" width="14.109375" style="549" customWidth="1"/>
    <col min="1086" max="1312" width="0" style="549" hidden="1"/>
    <col min="1313" max="1313" width="7.5546875" style="549" customWidth="1"/>
    <col min="1314" max="1314" width="36.77734375" style="549" customWidth="1"/>
    <col min="1315" max="1316" width="0" style="549" hidden="1"/>
    <col min="1317" max="1317" width="16.6640625" style="549" customWidth="1"/>
    <col min="1318" max="1318" width="17.33203125" style="549" customWidth="1"/>
    <col min="1319" max="1319" width="15.5546875" style="549" customWidth="1"/>
    <col min="1320" max="1320" width="0" style="549" hidden="1"/>
    <col min="1321" max="1321" width="16.6640625" style="549" customWidth="1"/>
    <col min="1322" max="1322" width="17.44140625" style="549" customWidth="1"/>
    <col min="1323" max="1324" width="0" style="549" hidden="1"/>
    <col min="1325" max="1327" width="15.33203125" style="549" customWidth="1"/>
    <col min="1328" max="1328" width="17" style="549" customWidth="1"/>
    <col min="1329" max="1329" width="0" style="549" hidden="1"/>
    <col min="1330" max="1331" width="15.5546875" style="549" customWidth="1"/>
    <col min="1332" max="1332" width="13.6640625" style="549" customWidth="1"/>
    <col min="1333" max="1333" width="9" style="549" customWidth="1"/>
    <col min="1334" max="1334" width="49.88671875" style="549" customWidth="1"/>
    <col min="1335" max="1335" width="0" style="549" hidden="1"/>
    <col min="1336" max="1337" width="15.88671875" style="549" customWidth="1"/>
    <col min="1338" max="1338" width="14.5546875" style="549" customWidth="1"/>
    <col min="1339" max="1339" width="16.33203125" style="549" customWidth="1"/>
    <col min="1340" max="1340" width="18.109375" style="549" customWidth="1"/>
    <col min="1341" max="1341" width="14.109375" style="549" customWidth="1"/>
    <col min="1342" max="1568" width="0" style="549" hidden="1"/>
    <col min="1569" max="1569" width="7.5546875" style="549" customWidth="1"/>
    <col min="1570" max="1570" width="36.77734375" style="549" customWidth="1"/>
    <col min="1571" max="1572" width="0" style="549" hidden="1"/>
    <col min="1573" max="1573" width="16.6640625" style="549" customWidth="1"/>
    <col min="1574" max="1574" width="17.33203125" style="549" customWidth="1"/>
    <col min="1575" max="1575" width="15.5546875" style="549" customWidth="1"/>
    <col min="1576" max="1576" width="0" style="549" hidden="1"/>
    <col min="1577" max="1577" width="16.6640625" style="549" customWidth="1"/>
    <col min="1578" max="1578" width="17.44140625" style="549" customWidth="1"/>
    <col min="1579" max="1580" width="0" style="549" hidden="1"/>
    <col min="1581" max="1583" width="15.33203125" style="549" customWidth="1"/>
    <col min="1584" max="1584" width="17" style="549" customWidth="1"/>
    <col min="1585" max="1585" width="0" style="549" hidden="1"/>
    <col min="1586" max="1587" width="15.5546875" style="549" customWidth="1"/>
    <col min="1588" max="1588" width="13.6640625" style="549" customWidth="1"/>
    <col min="1589" max="1589" width="9" style="549" customWidth="1"/>
    <col min="1590" max="1590" width="49.88671875" style="549" customWidth="1"/>
    <col min="1591" max="1591" width="0" style="549" hidden="1"/>
    <col min="1592" max="1593" width="15.88671875" style="549" customWidth="1"/>
    <col min="1594" max="1594" width="14.5546875" style="549" customWidth="1"/>
    <col min="1595" max="1595" width="16.33203125" style="549" customWidth="1"/>
    <col min="1596" max="1596" width="18.109375" style="549" customWidth="1"/>
    <col min="1597" max="1597" width="14.109375" style="549" customWidth="1"/>
    <col min="1598" max="1824" width="0" style="549" hidden="1"/>
    <col min="1825" max="1825" width="7.5546875" style="549" customWidth="1"/>
    <col min="1826" max="1826" width="36.77734375" style="549" customWidth="1"/>
    <col min="1827" max="1828" width="0" style="549" hidden="1"/>
    <col min="1829" max="1829" width="16.6640625" style="549" customWidth="1"/>
    <col min="1830" max="1830" width="17.33203125" style="549" customWidth="1"/>
    <col min="1831" max="1831" width="15.5546875" style="549" customWidth="1"/>
    <col min="1832" max="1832" width="0" style="549" hidden="1"/>
    <col min="1833" max="1833" width="16.6640625" style="549" customWidth="1"/>
    <col min="1834" max="1834" width="17.44140625" style="549" customWidth="1"/>
    <col min="1835" max="1836" width="0" style="549" hidden="1"/>
    <col min="1837" max="1839" width="15.33203125" style="549" customWidth="1"/>
    <col min="1840" max="1840" width="17" style="549" customWidth="1"/>
    <col min="1841" max="1841" width="0" style="549" hidden="1"/>
    <col min="1842" max="1843" width="15.5546875" style="549" customWidth="1"/>
    <col min="1844" max="1844" width="13.6640625" style="549" customWidth="1"/>
    <col min="1845" max="1845" width="9" style="549" customWidth="1"/>
    <col min="1846" max="1846" width="49.88671875" style="549" customWidth="1"/>
    <col min="1847" max="1847" width="0" style="549" hidden="1"/>
    <col min="1848" max="1849" width="15.88671875" style="549" customWidth="1"/>
    <col min="1850" max="1850" width="14.5546875" style="549" customWidth="1"/>
    <col min="1851" max="1851" width="16.33203125" style="549" customWidth="1"/>
    <col min="1852" max="1852" width="18.109375" style="549" customWidth="1"/>
    <col min="1853" max="1853" width="14.109375" style="549" customWidth="1"/>
    <col min="1854" max="2080" width="0" style="549" hidden="1"/>
    <col min="2081" max="2081" width="7.5546875" style="549" customWidth="1"/>
    <col min="2082" max="2082" width="36.77734375" style="549" customWidth="1"/>
    <col min="2083" max="2084" width="0" style="549" hidden="1"/>
    <col min="2085" max="2085" width="16.6640625" style="549" customWidth="1"/>
    <col min="2086" max="2086" width="17.33203125" style="549" customWidth="1"/>
    <col min="2087" max="2087" width="15.5546875" style="549" customWidth="1"/>
    <col min="2088" max="2088" width="0" style="549" hidden="1"/>
    <col min="2089" max="2089" width="16.6640625" style="549" customWidth="1"/>
    <col min="2090" max="2090" width="17.44140625" style="549" customWidth="1"/>
    <col min="2091" max="2092" width="0" style="549" hidden="1"/>
    <col min="2093" max="2095" width="15.33203125" style="549" customWidth="1"/>
    <col min="2096" max="2096" width="17" style="549" customWidth="1"/>
    <col min="2097" max="2097" width="0" style="549" hidden="1"/>
    <col min="2098" max="2099" width="15.5546875" style="549" customWidth="1"/>
    <col min="2100" max="2100" width="13.6640625" style="549" customWidth="1"/>
    <col min="2101" max="2101" width="9" style="549" customWidth="1"/>
    <col min="2102" max="2102" width="49.88671875" style="549" customWidth="1"/>
    <col min="2103" max="2103" width="0" style="549" hidden="1"/>
    <col min="2104" max="2105" width="15.88671875" style="549" customWidth="1"/>
    <col min="2106" max="2106" width="14.5546875" style="549" customWidth="1"/>
    <col min="2107" max="2107" width="16.33203125" style="549" customWidth="1"/>
    <col min="2108" max="2108" width="18.109375" style="549" customWidth="1"/>
    <col min="2109" max="2109" width="14.109375" style="549" customWidth="1"/>
    <col min="2110" max="2336" width="0" style="549" hidden="1"/>
    <col min="2337" max="2337" width="7.5546875" style="549" customWidth="1"/>
    <col min="2338" max="2338" width="36.77734375" style="549" customWidth="1"/>
    <col min="2339" max="2340" width="0" style="549" hidden="1"/>
    <col min="2341" max="2341" width="16.6640625" style="549" customWidth="1"/>
    <col min="2342" max="2342" width="17.33203125" style="549" customWidth="1"/>
    <col min="2343" max="2343" width="15.5546875" style="549" customWidth="1"/>
    <col min="2344" max="2344" width="0" style="549" hidden="1"/>
    <col min="2345" max="2345" width="16.6640625" style="549" customWidth="1"/>
    <col min="2346" max="2346" width="17.44140625" style="549" customWidth="1"/>
    <col min="2347" max="2348" width="0" style="549" hidden="1"/>
    <col min="2349" max="2351" width="15.33203125" style="549" customWidth="1"/>
    <col min="2352" max="2352" width="17" style="549" customWidth="1"/>
    <col min="2353" max="2353" width="0" style="549" hidden="1"/>
    <col min="2354" max="2355" width="15.5546875" style="549" customWidth="1"/>
    <col min="2356" max="2356" width="13.6640625" style="549" customWidth="1"/>
    <col min="2357" max="2357" width="9" style="549" customWidth="1"/>
    <col min="2358" max="2358" width="49.88671875" style="549" customWidth="1"/>
    <col min="2359" max="2359" width="0" style="549" hidden="1"/>
    <col min="2360" max="2361" width="15.88671875" style="549" customWidth="1"/>
    <col min="2362" max="2362" width="14.5546875" style="549" customWidth="1"/>
    <col min="2363" max="2363" width="16.33203125" style="549" customWidth="1"/>
    <col min="2364" max="2364" width="18.109375" style="549" customWidth="1"/>
    <col min="2365" max="2365" width="14.109375" style="549" customWidth="1"/>
    <col min="2366" max="2592" width="0" style="549" hidden="1"/>
    <col min="2593" max="2593" width="7.5546875" style="549" customWidth="1"/>
    <col min="2594" max="2594" width="36.77734375" style="549" customWidth="1"/>
    <col min="2595" max="2596" width="0" style="549" hidden="1"/>
    <col min="2597" max="2597" width="16.6640625" style="549" customWidth="1"/>
    <col min="2598" max="2598" width="17.33203125" style="549" customWidth="1"/>
    <col min="2599" max="2599" width="15.5546875" style="549" customWidth="1"/>
    <col min="2600" max="2600" width="0" style="549" hidden="1"/>
    <col min="2601" max="2601" width="16.6640625" style="549" customWidth="1"/>
    <col min="2602" max="2602" width="17.44140625" style="549" customWidth="1"/>
    <col min="2603" max="2604" width="0" style="549" hidden="1"/>
    <col min="2605" max="2607" width="15.33203125" style="549" customWidth="1"/>
    <col min="2608" max="2608" width="17" style="549" customWidth="1"/>
    <col min="2609" max="2609" width="0" style="549" hidden="1"/>
    <col min="2610" max="2611" width="15.5546875" style="549" customWidth="1"/>
    <col min="2612" max="2612" width="13.6640625" style="549" customWidth="1"/>
    <col min="2613" max="2613" width="9" style="549" customWidth="1"/>
    <col min="2614" max="2614" width="49.88671875" style="549" customWidth="1"/>
    <col min="2615" max="2615" width="0" style="549" hidden="1"/>
    <col min="2616" max="2617" width="15.88671875" style="549" customWidth="1"/>
    <col min="2618" max="2618" width="14.5546875" style="549" customWidth="1"/>
    <col min="2619" max="2619" width="16.33203125" style="549" customWidth="1"/>
    <col min="2620" max="2620" width="18.109375" style="549" customWidth="1"/>
    <col min="2621" max="2621" width="14.109375" style="549" customWidth="1"/>
    <col min="2622" max="2848" width="0" style="549" hidden="1"/>
    <col min="2849" max="2849" width="7.5546875" style="549" customWidth="1"/>
    <col min="2850" max="2850" width="36.77734375" style="549" customWidth="1"/>
    <col min="2851" max="2852" width="0" style="549" hidden="1"/>
    <col min="2853" max="2853" width="16.6640625" style="549" customWidth="1"/>
    <col min="2854" max="2854" width="17.33203125" style="549" customWidth="1"/>
    <col min="2855" max="2855" width="15.5546875" style="549" customWidth="1"/>
    <col min="2856" max="2856" width="0" style="549" hidden="1"/>
    <col min="2857" max="2857" width="16.6640625" style="549" customWidth="1"/>
    <col min="2858" max="2858" width="17.44140625" style="549" customWidth="1"/>
    <col min="2859" max="2860" width="0" style="549" hidden="1"/>
    <col min="2861" max="2863" width="15.33203125" style="549" customWidth="1"/>
    <col min="2864" max="2864" width="17" style="549" customWidth="1"/>
    <col min="2865" max="2865" width="0" style="549" hidden="1"/>
    <col min="2866" max="2867" width="15.5546875" style="549" customWidth="1"/>
    <col min="2868" max="2868" width="13.6640625" style="549" customWidth="1"/>
    <col min="2869" max="2869" width="9" style="549" customWidth="1"/>
    <col min="2870" max="2870" width="49.88671875" style="549" customWidth="1"/>
    <col min="2871" max="2871" width="0" style="549" hidden="1"/>
    <col min="2872" max="2873" width="15.88671875" style="549" customWidth="1"/>
    <col min="2874" max="2874" width="14.5546875" style="549" customWidth="1"/>
    <col min="2875" max="2875" width="16.33203125" style="549" customWidth="1"/>
    <col min="2876" max="2876" width="18.109375" style="549" customWidth="1"/>
    <col min="2877" max="2877" width="14.109375" style="549" customWidth="1"/>
    <col min="2878" max="3104" width="0" style="549" hidden="1"/>
    <col min="3105" max="3105" width="7.5546875" style="549" customWidth="1"/>
    <col min="3106" max="3106" width="36.77734375" style="549" customWidth="1"/>
    <col min="3107" max="3108" width="0" style="549" hidden="1"/>
    <col min="3109" max="3109" width="16.6640625" style="549" customWidth="1"/>
    <col min="3110" max="3110" width="17.33203125" style="549" customWidth="1"/>
    <col min="3111" max="3111" width="15.5546875" style="549" customWidth="1"/>
    <col min="3112" max="3112" width="0" style="549" hidden="1"/>
    <col min="3113" max="3113" width="16.6640625" style="549" customWidth="1"/>
    <col min="3114" max="3114" width="17.44140625" style="549" customWidth="1"/>
    <col min="3115" max="3116" width="0" style="549" hidden="1"/>
    <col min="3117" max="3119" width="15.33203125" style="549" customWidth="1"/>
    <col min="3120" max="3120" width="17" style="549" customWidth="1"/>
    <col min="3121" max="3121" width="0" style="549" hidden="1"/>
    <col min="3122" max="3123" width="15.5546875" style="549" customWidth="1"/>
    <col min="3124" max="3124" width="13.6640625" style="549" customWidth="1"/>
    <col min="3125" max="3125" width="9" style="549" customWidth="1"/>
    <col min="3126" max="3126" width="49.88671875" style="549" customWidth="1"/>
    <col min="3127" max="3127" width="0" style="549" hidden="1"/>
    <col min="3128" max="3129" width="15.88671875" style="549" customWidth="1"/>
    <col min="3130" max="3130" width="14.5546875" style="549" customWidth="1"/>
    <col min="3131" max="3131" width="16.33203125" style="549" customWidth="1"/>
    <col min="3132" max="3132" width="18.109375" style="549" customWidth="1"/>
    <col min="3133" max="3133" width="14.109375" style="549" customWidth="1"/>
    <col min="3134" max="3360" width="0" style="549" hidden="1"/>
    <col min="3361" max="3361" width="7.5546875" style="549" customWidth="1"/>
    <col min="3362" max="3362" width="36.77734375" style="549" customWidth="1"/>
    <col min="3363" max="3364" width="0" style="549" hidden="1"/>
    <col min="3365" max="3365" width="16.6640625" style="549" customWidth="1"/>
    <col min="3366" max="3366" width="17.33203125" style="549" customWidth="1"/>
    <col min="3367" max="3367" width="15.5546875" style="549" customWidth="1"/>
    <col min="3368" max="3368" width="0" style="549" hidden="1"/>
    <col min="3369" max="3369" width="16.6640625" style="549" customWidth="1"/>
    <col min="3370" max="3370" width="17.44140625" style="549" customWidth="1"/>
    <col min="3371" max="3372" width="0" style="549" hidden="1"/>
    <col min="3373" max="3375" width="15.33203125" style="549" customWidth="1"/>
    <col min="3376" max="3376" width="17" style="549" customWidth="1"/>
    <col min="3377" max="3377" width="0" style="549" hidden="1"/>
    <col min="3378" max="3379" width="15.5546875" style="549" customWidth="1"/>
    <col min="3380" max="3380" width="13.6640625" style="549" customWidth="1"/>
    <col min="3381" max="3381" width="9" style="549" customWidth="1"/>
    <col min="3382" max="3382" width="49.88671875" style="549" customWidth="1"/>
    <col min="3383" max="3383" width="0" style="549" hidden="1"/>
    <col min="3384" max="3385" width="15.88671875" style="549" customWidth="1"/>
    <col min="3386" max="3386" width="14.5546875" style="549" customWidth="1"/>
    <col min="3387" max="3387" width="16.33203125" style="549" customWidth="1"/>
    <col min="3388" max="3388" width="18.109375" style="549" customWidth="1"/>
    <col min="3389" max="3389" width="14.109375" style="549" customWidth="1"/>
    <col min="3390" max="3616" width="0" style="549" hidden="1"/>
    <col min="3617" max="3617" width="7.5546875" style="549" customWidth="1"/>
    <col min="3618" max="3618" width="36.77734375" style="549" customWidth="1"/>
    <col min="3619" max="3620" width="0" style="549" hidden="1"/>
    <col min="3621" max="3621" width="16.6640625" style="549" customWidth="1"/>
    <col min="3622" max="3622" width="17.33203125" style="549" customWidth="1"/>
    <col min="3623" max="3623" width="15.5546875" style="549" customWidth="1"/>
    <col min="3624" max="3624" width="0" style="549" hidden="1"/>
    <col min="3625" max="3625" width="16.6640625" style="549" customWidth="1"/>
    <col min="3626" max="3626" width="17.44140625" style="549" customWidth="1"/>
    <col min="3627" max="3628" width="0" style="549" hidden="1"/>
    <col min="3629" max="3631" width="15.33203125" style="549" customWidth="1"/>
    <col min="3632" max="3632" width="17" style="549" customWidth="1"/>
    <col min="3633" max="3633" width="0" style="549" hidden="1"/>
    <col min="3634" max="3635" width="15.5546875" style="549" customWidth="1"/>
    <col min="3636" max="3636" width="13.6640625" style="549" customWidth="1"/>
    <col min="3637" max="3637" width="9" style="549" customWidth="1"/>
    <col min="3638" max="3638" width="49.88671875" style="549" customWidth="1"/>
    <col min="3639" max="3639" width="0" style="549" hidden="1"/>
    <col min="3640" max="3641" width="15.88671875" style="549" customWidth="1"/>
    <col min="3642" max="3642" width="14.5546875" style="549" customWidth="1"/>
    <col min="3643" max="3643" width="16.33203125" style="549" customWidth="1"/>
    <col min="3644" max="3644" width="18.109375" style="549" customWidth="1"/>
    <col min="3645" max="3645" width="14.109375" style="549" customWidth="1"/>
    <col min="3646" max="3872" width="0" style="549" hidden="1"/>
    <col min="3873" max="3873" width="7.5546875" style="549" customWidth="1"/>
    <col min="3874" max="3874" width="36.77734375" style="549" customWidth="1"/>
    <col min="3875" max="3876" width="0" style="549" hidden="1"/>
    <col min="3877" max="3877" width="16.6640625" style="549" customWidth="1"/>
    <col min="3878" max="3878" width="17.33203125" style="549" customWidth="1"/>
    <col min="3879" max="3879" width="15.5546875" style="549" customWidth="1"/>
    <col min="3880" max="3880" width="0" style="549" hidden="1"/>
    <col min="3881" max="3881" width="16.6640625" style="549" customWidth="1"/>
    <col min="3882" max="3882" width="17.44140625" style="549" customWidth="1"/>
    <col min="3883" max="3884" width="0" style="549" hidden="1"/>
    <col min="3885" max="3887" width="15.33203125" style="549" customWidth="1"/>
    <col min="3888" max="3888" width="17" style="549" customWidth="1"/>
    <col min="3889" max="3889" width="0" style="549" hidden="1"/>
    <col min="3890" max="3891" width="15.5546875" style="549" customWidth="1"/>
    <col min="3892" max="3892" width="13.6640625" style="549" customWidth="1"/>
    <col min="3893" max="3893" width="9" style="549" customWidth="1"/>
    <col min="3894" max="3894" width="49.88671875" style="549" customWidth="1"/>
    <col min="3895" max="3895" width="0" style="549" hidden="1"/>
    <col min="3896" max="3897" width="15.88671875" style="549" customWidth="1"/>
    <col min="3898" max="3898" width="14.5546875" style="549" customWidth="1"/>
    <col min="3899" max="3899" width="16.33203125" style="549" customWidth="1"/>
    <col min="3900" max="3900" width="18.109375" style="549" customWidth="1"/>
    <col min="3901" max="3901" width="14.109375" style="549" customWidth="1"/>
    <col min="3902" max="4128" width="0" style="549" hidden="1"/>
    <col min="4129" max="4129" width="7.5546875" style="549" customWidth="1"/>
    <col min="4130" max="4130" width="36.77734375" style="549" customWidth="1"/>
    <col min="4131" max="4132" width="0" style="549" hidden="1"/>
    <col min="4133" max="4133" width="16.6640625" style="549" customWidth="1"/>
    <col min="4134" max="4134" width="17.33203125" style="549" customWidth="1"/>
    <col min="4135" max="4135" width="15.5546875" style="549" customWidth="1"/>
    <col min="4136" max="4136" width="0" style="549" hidden="1"/>
    <col min="4137" max="4137" width="16.6640625" style="549" customWidth="1"/>
    <col min="4138" max="4138" width="17.44140625" style="549" customWidth="1"/>
    <col min="4139" max="4140" width="0" style="549" hidden="1"/>
    <col min="4141" max="4143" width="15.33203125" style="549" customWidth="1"/>
    <col min="4144" max="4144" width="17" style="549" customWidth="1"/>
    <col min="4145" max="4145" width="0" style="549" hidden="1"/>
    <col min="4146" max="4147" width="15.5546875" style="549" customWidth="1"/>
    <col min="4148" max="4148" width="13.6640625" style="549" customWidth="1"/>
    <col min="4149" max="4149" width="9" style="549" customWidth="1"/>
    <col min="4150" max="4150" width="49.88671875" style="549" customWidth="1"/>
    <col min="4151" max="4151" width="0" style="549" hidden="1"/>
    <col min="4152" max="4153" width="15.88671875" style="549" customWidth="1"/>
    <col min="4154" max="4154" width="14.5546875" style="549" customWidth="1"/>
    <col min="4155" max="4155" width="16.33203125" style="549" customWidth="1"/>
    <col min="4156" max="4156" width="18.109375" style="549" customWidth="1"/>
    <col min="4157" max="4157" width="14.109375" style="549" customWidth="1"/>
    <col min="4158" max="4384" width="0" style="549" hidden="1"/>
    <col min="4385" max="4385" width="7.5546875" style="549" customWidth="1"/>
    <col min="4386" max="4386" width="36.77734375" style="549" customWidth="1"/>
    <col min="4387" max="4388" width="0" style="549" hidden="1"/>
    <col min="4389" max="4389" width="16.6640625" style="549" customWidth="1"/>
    <col min="4390" max="4390" width="17.33203125" style="549" customWidth="1"/>
    <col min="4391" max="4391" width="15.5546875" style="549" customWidth="1"/>
    <col min="4392" max="4392" width="0" style="549" hidden="1"/>
    <col min="4393" max="4393" width="16.6640625" style="549" customWidth="1"/>
    <col min="4394" max="4394" width="17.44140625" style="549" customWidth="1"/>
    <col min="4395" max="4396" width="0" style="549" hidden="1"/>
    <col min="4397" max="4399" width="15.33203125" style="549" customWidth="1"/>
    <col min="4400" max="4400" width="17" style="549" customWidth="1"/>
    <col min="4401" max="4401" width="0" style="549" hidden="1"/>
    <col min="4402" max="4403" width="15.5546875" style="549" customWidth="1"/>
    <col min="4404" max="4404" width="13.6640625" style="549" customWidth="1"/>
    <col min="4405" max="4405" width="9" style="549" customWidth="1"/>
    <col min="4406" max="4406" width="49.88671875" style="549" customWidth="1"/>
    <col min="4407" max="4407" width="0" style="549" hidden="1"/>
    <col min="4408" max="4409" width="15.88671875" style="549" customWidth="1"/>
    <col min="4410" max="4410" width="14.5546875" style="549" customWidth="1"/>
    <col min="4411" max="4411" width="16.33203125" style="549" customWidth="1"/>
    <col min="4412" max="4412" width="18.109375" style="549" customWidth="1"/>
    <col min="4413" max="4413" width="14.109375" style="549" customWidth="1"/>
    <col min="4414" max="4640" width="0" style="549" hidden="1"/>
    <col min="4641" max="4641" width="7.5546875" style="549" customWidth="1"/>
    <col min="4642" max="4642" width="36.77734375" style="549" customWidth="1"/>
    <col min="4643" max="4644" width="0" style="549" hidden="1"/>
    <col min="4645" max="4645" width="16.6640625" style="549" customWidth="1"/>
    <col min="4646" max="4646" width="17.33203125" style="549" customWidth="1"/>
    <col min="4647" max="4647" width="15.5546875" style="549" customWidth="1"/>
    <col min="4648" max="4648" width="0" style="549" hidden="1"/>
    <col min="4649" max="4649" width="16.6640625" style="549" customWidth="1"/>
    <col min="4650" max="4650" width="17.44140625" style="549" customWidth="1"/>
    <col min="4651" max="4652" width="0" style="549" hidden="1"/>
    <col min="4653" max="4655" width="15.33203125" style="549" customWidth="1"/>
    <col min="4656" max="4656" width="17" style="549" customWidth="1"/>
    <col min="4657" max="4657" width="0" style="549" hidden="1"/>
    <col min="4658" max="4659" width="15.5546875" style="549" customWidth="1"/>
    <col min="4660" max="4660" width="13.6640625" style="549" customWidth="1"/>
    <col min="4661" max="4661" width="9" style="549" customWidth="1"/>
    <col min="4662" max="4662" width="49.88671875" style="549" customWidth="1"/>
    <col min="4663" max="4663" width="0" style="549" hidden="1"/>
    <col min="4664" max="4665" width="15.88671875" style="549" customWidth="1"/>
    <col min="4666" max="4666" width="14.5546875" style="549" customWidth="1"/>
    <col min="4667" max="4667" width="16.33203125" style="549" customWidth="1"/>
    <col min="4668" max="4668" width="18.109375" style="549" customWidth="1"/>
    <col min="4669" max="4669" width="14.109375" style="549" customWidth="1"/>
    <col min="4670" max="4896" width="0" style="549" hidden="1"/>
    <col min="4897" max="4897" width="7.5546875" style="549" customWidth="1"/>
    <col min="4898" max="4898" width="36.77734375" style="549" customWidth="1"/>
    <col min="4899" max="4900" width="0" style="549" hidden="1"/>
    <col min="4901" max="4901" width="16.6640625" style="549" customWidth="1"/>
    <col min="4902" max="4902" width="17.33203125" style="549" customWidth="1"/>
    <col min="4903" max="4903" width="15.5546875" style="549" customWidth="1"/>
    <col min="4904" max="4904" width="0" style="549" hidden="1"/>
    <col min="4905" max="4905" width="16.6640625" style="549" customWidth="1"/>
    <col min="4906" max="4906" width="17.44140625" style="549" customWidth="1"/>
    <col min="4907" max="4908" width="0" style="549" hidden="1"/>
    <col min="4909" max="4911" width="15.33203125" style="549" customWidth="1"/>
    <col min="4912" max="4912" width="17" style="549" customWidth="1"/>
    <col min="4913" max="4913" width="0" style="549" hidden="1"/>
    <col min="4914" max="4915" width="15.5546875" style="549" customWidth="1"/>
    <col min="4916" max="4916" width="13.6640625" style="549" customWidth="1"/>
    <col min="4917" max="4917" width="9" style="549" customWidth="1"/>
    <col min="4918" max="4918" width="49.88671875" style="549" customWidth="1"/>
    <col min="4919" max="4919" width="0" style="549" hidden="1"/>
    <col min="4920" max="4921" width="15.88671875" style="549" customWidth="1"/>
    <col min="4922" max="4922" width="14.5546875" style="549" customWidth="1"/>
    <col min="4923" max="4923" width="16.33203125" style="549" customWidth="1"/>
    <col min="4924" max="4924" width="18.109375" style="549" customWidth="1"/>
    <col min="4925" max="4925" width="14.109375" style="549" customWidth="1"/>
    <col min="4926" max="5152" width="0" style="549" hidden="1"/>
    <col min="5153" max="5153" width="7.5546875" style="549" customWidth="1"/>
    <col min="5154" max="5154" width="36.77734375" style="549" customWidth="1"/>
    <col min="5155" max="5156" width="0" style="549" hidden="1"/>
    <col min="5157" max="5157" width="16.6640625" style="549" customWidth="1"/>
    <col min="5158" max="5158" width="17.33203125" style="549" customWidth="1"/>
    <col min="5159" max="5159" width="15.5546875" style="549" customWidth="1"/>
    <col min="5160" max="5160" width="0" style="549" hidden="1"/>
    <col min="5161" max="5161" width="16.6640625" style="549" customWidth="1"/>
    <col min="5162" max="5162" width="17.44140625" style="549" customWidth="1"/>
    <col min="5163" max="5164" width="0" style="549" hidden="1"/>
    <col min="5165" max="5167" width="15.33203125" style="549" customWidth="1"/>
    <col min="5168" max="5168" width="17" style="549" customWidth="1"/>
    <col min="5169" max="5169" width="0" style="549" hidden="1"/>
    <col min="5170" max="5171" width="15.5546875" style="549" customWidth="1"/>
    <col min="5172" max="5172" width="13.6640625" style="549" customWidth="1"/>
    <col min="5173" max="5173" width="9" style="549" customWidth="1"/>
    <col min="5174" max="5174" width="49.88671875" style="549" customWidth="1"/>
    <col min="5175" max="5175" width="0" style="549" hidden="1"/>
    <col min="5176" max="5177" width="15.88671875" style="549" customWidth="1"/>
    <col min="5178" max="5178" width="14.5546875" style="549" customWidth="1"/>
    <col min="5179" max="5179" width="16.33203125" style="549" customWidth="1"/>
    <col min="5180" max="5180" width="18.109375" style="549" customWidth="1"/>
    <col min="5181" max="5181" width="14.109375" style="549" customWidth="1"/>
    <col min="5182" max="5408" width="0" style="549" hidden="1"/>
    <col min="5409" max="5409" width="7.5546875" style="549" customWidth="1"/>
    <col min="5410" max="5410" width="36.77734375" style="549" customWidth="1"/>
    <col min="5411" max="5412" width="0" style="549" hidden="1"/>
    <col min="5413" max="5413" width="16.6640625" style="549" customWidth="1"/>
    <col min="5414" max="5414" width="17.33203125" style="549" customWidth="1"/>
    <col min="5415" max="5415" width="15.5546875" style="549" customWidth="1"/>
    <col min="5416" max="5416" width="0" style="549" hidden="1"/>
    <col min="5417" max="5417" width="16.6640625" style="549" customWidth="1"/>
    <col min="5418" max="5418" width="17.44140625" style="549" customWidth="1"/>
    <col min="5419" max="5420" width="0" style="549" hidden="1"/>
    <col min="5421" max="5423" width="15.33203125" style="549" customWidth="1"/>
    <col min="5424" max="5424" width="17" style="549" customWidth="1"/>
    <col min="5425" max="5425" width="0" style="549" hidden="1"/>
    <col min="5426" max="5427" width="15.5546875" style="549" customWidth="1"/>
    <col min="5428" max="5428" width="13.6640625" style="549" customWidth="1"/>
    <col min="5429" max="5429" width="9" style="549" customWidth="1"/>
    <col min="5430" max="5430" width="49.88671875" style="549" customWidth="1"/>
    <col min="5431" max="5431" width="0" style="549" hidden="1"/>
    <col min="5432" max="5433" width="15.88671875" style="549" customWidth="1"/>
    <col min="5434" max="5434" width="14.5546875" style="549" customWidth="1"/>
    <col min="5435" max="5435" width="16.33203125" style="549" customWidth="1"/>
    <col min="5436" max="5436" width="18.109375" style="549" customWidth="1"/>
    <col min="5437" max="5437" width="14.109375" style="549" customWidth="1"/>
    <col min="5438" max="5664" width="0" style="549" hidden="1"/>
    <col min="5665" max="5665" width="7.5546875" style="549" customWidth="1"/>
    <col min="5666" max="5666" width="36.77734375" style="549" customWidth="1"/>
    <col min="5667" max="5668" width="0" style="549" hidden="1"/>
    <col min="5669" max="5669" width="16.6640625" style="549" customWidth="1"/>
    <col min="5670" max="5670" width="17.33203125" style="549" customWidth="1"/>
    <col min="5671" max="5671" width="15.5546875" style="549" customWidth="1"/>
    <col min="5672" max="5672" width="0" style="549" hidden="1"/>
    <col min="5673" max="5673" width="16.6640625" style="549" customWidth="1"/>
    <col min="5674" max="5674" width="17.44140625" style="549" customWidth="1"/>
    <col min="5675" max="5676" width="0" style="549" hidden="1"/>
    <col min="5677" max="5679" width="15.33203125" style="549" customWidth="1"/>
    <col min="5680" max="5680" width="17" style="549" customWidth="1"/>
    <col min="5681" max="5681" width="0" style="549" hidden="1"/>
    <col min="5682" max="5683" width="15.5546875" style="549" customWidth="1"/>
    <col min="5684" max="5684" width="13.6640625" style="549" customWidth="1"/>
    <col min="5685" max="5685" width="9" style="549" customWidth="1"/>
    <col min="5686" max="5686" width="49.88671875" style="549" customWidth="1"/>
    <col min="5687" max="5687" width="0" style="549" hidden="1"/>
    <col min="5688" max="5689" width="15.88671875" style="549" customWidth="1"/>
    <col min="5690" max="5690" width="14.5546875" style="549" customWidth="1"/>
    <col min="5691" max="5691" width="16.33203125" style="549" customWidth="1"/>
    <col min="5692" max="5692" width="18.109375" style="549" customWidth="1"/>
    <col min="5693" max="5693" width="14.109375" style="549" customWidth="1"/>
    <col min="5694" max="5920" width="0" style="549" hidden="1"/>
    <col min="5921" max="5921" width="7.5546875" style="549" customWidth="1"/>
    <col min="5922" max="5922" width="36.77734375" style="549" customWidth="1"/>
    <col min="5923" max="5924" width="0" style="549" hidden="1"/>
    <col min="5925" max="5925" width="16.6640625" style="549" customWidth="1"/>
    <col min="5926" max="5926" width="17.33203125" style="549" customWidth="1"/>
    <col min="5927" max="5927" width="15.5546875" style="549" customWidth="1"/>
    <col min="5928" max="5928" width="0" style="549" hidden="1"/>
    <col min="5929" max="5929" width="16.6640625" style="549" customWidth="1"/>
    <col min="5930" max="5930" width="17.44140625" style="549" customWidth="1"/>
    <col min="5931" max="5932" width="0" style="549" hidden="1"/>
    <col min="5933" max="5935" width="15.33203125" style="549" customWidth="1"/>
    <col min="5936" max="5936" width="17" style="549" customWidth="1"/>
    <col min="5937" max="5937" width="0" style="549" hidden="1"/>
    <col min="5938" max="5939" width="15.5546875" style="549" customWidth="1"/>
    <col min="5940" max="5940" width="13.6640625" style="549" customWidth="1"/>
    <col min="5941" max="5941" width="9" style="549" customWidth="1"/>
    <col min="5942" max="5942" width="49.88671875" style="549" customWidth="1"/>
    <col min="5943" max="5943" width="0" style="549" hidden="1"/>
    <col min="5944" max="5945" width="15.88671875" style="549" customWidth="1"/>
    <col min="5946" max="5946" width="14.5546875" style="549" customWidth="1"/>
    <col min="5947" max="5947" width="16.33203125" style="549" customWidth="1"/>
    <col min="5948" max="5948" width="18.109375" style="549" customWidth="1"/>
    <col min="5949" max="5949" width="14.109375" style="549" customWidth="1"/>
    <col min="5950" max="6176" width="0" style="549" hidden="1"/>
    <col min="6177" max="6177" width="7.5546875" style="549" customWidth="1"/>
    <col min="6178" max="6178" width="36.77734375" style="549" customWidth="1"/>
    <col min="6179" max="6180" width="0" style="549" hidden="1"/>
    <col min="6181" max="6181" width="16.6640625" style="549" customWidth="1"/>
    <col min="6182" max="6182" width="17.33203125" style="549" customWidth="1"/>
    <col min="6183" max="6183" width="15.5546875" style="549" customWidth="1"/>
    <col min="6184" max="6184" width="0" style="549" hidden="1"/>
    <col min="6185" max="6185" width="16.6640625" style="549" customWidth="1"/>
    <col min="6186" max="6186" width="17.44140625" style="549" customWidth="1"/>
    <col min="6187" max="6188" width="0" style="549" hidden="1"/>
    <col min="6189" max="6191" width="15.33203125" style="549" customWidth="1"/>
    <col min="6192" max="6192" width="17" style="549" customWidth="1"/>
    <col min="6193" max="6193" width="0" style="549" hidden="1"/>
    <col min="6194" max="6195" width="15.5546875" style="549" customWidth="1"/>
    <col min="6196" max="6196" width="13.6640625" style="549" customWidth="1"/>
    <col min="6197" max="6197" width="9" style="549" customWidth="1"/>
    <col min="6198" max="6198" width="49.88671875" style="549" customWidth="1"/>
    <col min="6199" max="6199" width="0" style="549" hidden="1"/>
    <col min="6200" max="6201" width="15.88671875" style="549" customWidth="1"/>
    <col min="6202" max="6202" width="14.5546875" style="549" customWidth="1"/>
    <col min="6203" max="6203" width="16.33203125" style="549" customWidth="1"/>
    <col min="6204" max="6204" width="18.109375" style="549" customWidth="1"/>
    <col min="6205" max="6205" width="14.109375" style="549" customWidth="1"/>
    <col min="6206" max="6432" width="0" style="549" hidden="1"/>
    <col min="6433" max="6433" width="7.5546875" style="549" customWidth="1"/>
    <col min="6434" max="6434" width="36.77734375" style="549" customWidth="1"/>
    <col min="6435" max="6436" width="0" style="549" hidden="1"/>
    <col min="6437" max="6437" width="16.6640625" style="549" customWidth="1"/>
    <col min="6438" max="6438" width="17.33203125" style="549" customWidth="1"/>
    <col min="6439" max="6439" width="15.5546875" style="549" customWidth="1"/>
    <col min="6440" max="6440" width="0" style="549" hidden="1"/>
    <col min="6441" max="6441" width="16.6640625" style="549" customWidth="1"/>
    <col min="6442" max="6442" width="17.44140625" style="549" customWidth="1"/>
    <col min="6443" max="6444" width="0" style="549" hidden="1"/>
    <col min="6445" max="6447" width="15.33203125" style="549" customWidth="1"/>
    <col min="6448" max="6448" width="17" style="549" customWidth="1"/>
    <col min="6449" max="6449" width="0" style="549" hidden="1"/>
    <col min="6450" max="6451" width="15.5546875" style="549" customWidth="1"/>
    <col min="6452" max="6452" width="13.6640625" style="549" customWidth="1"/>
    <col min="6453" max="6453" width="9" style="549" customWidth="1"/>
    <col min="6454" max="6454" width="49.88671875" style="549" customWidth="1"/>
    <col min="6455" max="6455" width="0" style="549" hidden="1"/>
    <col min="6456" max="6457" width="15.88671875" style="549" customWidth="1"/>
    <col min="6458" max="6458" width="14.5546875" style="549" customWidth="1"/>
    <col min="6459" max="6459" width="16.33203125" style="549" customWidth="1"/>
    <col min="6460" max="6460" width="18.109375" style="549" customWidth="1"/>
    <col min="6461" max="6461" width="14.109375" style="549" customWidth="1"/>
    <col min="6462" max="6688" width="0" style="549" hidden="1"/>
    <col min="6689" max="6689" width="7.5546875" style="549" customWidth="1"/>
    <col min="6690" max="6690" width="36.77734375" style="549" customWidth="1"/>
    <col min="6691" max="6692" width="0" style="549" hidden="1"/>
    <col min="6693" max="6693" width="16.6640625" style="549" customWidth="1"/>
    <col min="6694" max="6694" width="17.33203125" style="549" customWidth="1"/>
    <col min="6695" max="6695" width="15.5546875" style="549" customWidth="1"/>
    <col min="6696" max="6696" width="0" style="549" hidden="1"/>
    <col min="6697" max="6697" width="16.6640625" style="549" customWidth="1"/>
    <col min="6698" max="6698" width="17.44140625" style="549" customWidth="1"/>
    <col min="6699" max="6700" width="0" style="549" hidden="1"/>
    <col min="6701" max="6703" width="15.33203125" style="549" customWidth="1"/>
    <col min="6704" max="6704" width="17" style="549" customWidth="1"/>
    <col min="6705" max="6705" width="0" style="549" hidden="1"/>
    <col min="6706" max="6707" width="15.5546875" style="549" customWidth="1"/>
    <col min="6708" max="6708" width="13.6640625" style="549" customWidth="1"/>
    <col min="6709" max="6709" width="9" style="549" customWidth="1"/>
    <col min="6710" max="6710" width="49.88671875" style="549" customWidth="1"/>
    <col min="6711" max="6711" width="0" style="549" hidden="1"/>
    <col min="6712" max="6713" width="15.88671875" style="549" customWidth="1"/>
    <col min="6714" max="6714" width="14.5546875" style="549" customWidth="1"/>
    <col min="6715" max="6715" width="16.33203125" style="549" customWidth="1"/>
    <col min="6716" max="6716" width="18.109375" style="549" customWidth="1"/>
    <col min="6717" max="6717" width="14.109375" style="549" customWidth="1"/>
    <col min="6718" max="6944" width="0" style="549" hidden="1"/>
    <col min="6945" max="6945" width="7.5546875" style="549" customWidth="1"/>
    <col min="6946" max="6946" width="36.77734375" style="549" customWidth="1"/>
    <col min="6947" max="6948" width="0" style="549" hidden="1"/>
    <col min="6949" max="6949" width="16.6640625" style="549" customWidth="1"/>
    <col min="6950" max="6950" width="17.33203125" style="549" customWidth="1"/>
    <col min="6951" max="6951" width="15.5546875" style="549" customWidth="1"/>
    <col min="6952" max="6952" width="0" style="549" hidden="1"/>
    <col min="6953" max="6953" width="16.6640625" style="549" customWidth="1"/>
    <col min="6954" max="6954" width="17.44140625" style="549" customWidth="1"/>
    <col min="6955" max="6956" width="0" style="549" hidden="1"/>
    <col min="6957" max="6959" width="15.33203125" style="549" customWidth="1"/>
    <col min="6960" max="6960" width="17" style="549" customWidth="1"/>
    <col min="6961" max="6961" width="0" style="549" hidden="1"/>
    <col min="6962" max="6963" width="15.5546875" style="549" customWidth="1"/>
    <col min="6964" max="6964" width="13.6640625" style="549" customWidth="1"/>
    <col min="6965" max="6965" width="9" style="549" customWidth="1"/>
    <col min="6966" max="6966" width="49.88671875" style="549" customWidth="1"/>
    <col min="6967" max="6967" width="0" style="549" hidden="1"/>
    <col min="6968" max="6969" width="15.88671875" style="549" customWidth="1"/>
    <col min="6970" max="6970" width="14.5546875" style="549" customWidth="1"/>
    <col min="6971" max="6971" width="16.33203125" style="549" customWidth="1"/>
    <col min="6972" max="6972" width="18.109375" style="549" customWidth="1"/>
    <col min="6973" max="6973" width="14.109375" style="549" customWidth="1"/>
    <col min="6974" max="7200" width="0" style="549" hidden="1"/>
    <col min="7201" max="7201" width="7.5546875" style="549" customWidth="1"/>
    <col min="7202" max="7202" width="36.77734375" style="549" customWidth="1"/>
    <col min="7203" max="7204" width="0" style="549" hidden="1"/>
    <col min="7205" max="7205" width="16.6640625" style="549" customWidth="1"/>
    <col min="7206" max="7206" width="17.33203125" style="549" customWidth="1"/>
    <col min="7207" max="7207" width="15.5546875" style="549" customWidth="1"/>
    <col min="7208" max="7208" width="0" style="549" hidden="1"/>
    <col min="7209" max="7209" width="16.6640625" style="549" customWidth="1"/>
    <col min="7210" max="7210" width="17.44140625" style="549" customWidth="1"/>
    <col min="7211" max="7212" width="0" style="549" hidden="1"/>
    <col min="7213" max="7215" width="15.33203125" style="549" customWidth="1"/>
    <col min="7216" max="7216" width="17" style="549" customWidth="1"/>
    <col min="7217" max="7217" width="0" style="549" hidden="1"/>
    <col min="7218" max="7219" width="15.5546875" style="549" customWidth="1"/>
    <col min="7220" max="7220" width="13.6640625" style="549" customWidth="1"/>
    <col min="7221" max="7221" width="9" style="549" customWidth="1"/>
    <col min="7222" max="7222" width="49.88671875" style="549" customWidth="1"/>
    <col min="7223" max="7223" width="0" style="549" hidden="1"/>
    <col min="7224" max="7225" width="15.88671875" style="549" customWidth="1"/>
    <col min="7226" max="7226" width="14.5546875" style="549" customWidth="1"/>
    <col min="7227" max="7227" width="16.33203125" style="549" customWidth="1"/>
    <col min="7228" max="7228" width="18.109375" style="549" customWidth="1"/>
    <col min="7229" max="7229" width="14.109375" style="549" customWidth="1"/>
    <col min="7230" max="7456" width="0" style="549" hidden="1"/>
    <col min="7457" max="7457" width="7.5546875" style="549" customWidth="1"/>
    <col min="7458" max="7458" width="36.77734375" style="549" customWidth="1"/>
    <col min="7459" max="7460" width="0" style="549" hidden="1"/>
    <col min="7461" max="7461" width="16.6640625" style="549" customWidth="1"/>
    <col min="7462" max="7462" width="17.33203125" style="549" customWidth="1"/>
    <col min="7463" max="7463" width="15.5546875" style="549" customWidth="1"/>
    <col min="7464" max="7464" width="0" style="549" hidden="1"/>
    <col min="7465" max="7465" width="16.6640625" style="549" customWidth="1"/>
    <col min="7466" max="7466" width="17.44140625" style="549" customWidth="1"/>
    <col min="7467" max="7468" width="0" style="549" hidden="1"/>
    <col min="7469" max="7471" width="15.33203125" style="549" customWidth="1"/>
    <col min="7472" max="7472" width="17" style="549" customWidth="1"/>
    <col min="7473" max="7473" width="0" style="549" hidden="1"/>
    <col min="7474" max="7475" width="15.5546875" style="549" customWidth="1"/>
    <col min="7476" max="7476" width="13.6640625" style="549" customWidth="1"/>
    <col min="7477" max="7477" width="9" style="549" customWidth="1"/>
    <col min="7478" max="7478" width="49.88671875" style="549" customWidth="1"/>
    <col min="7479" max="7479" width="0" style="549" hidden="1"/>
    <col min="7480" max="7481" width="15.88671875" style="549" customWidth="1"/>
    <col min="7482" max="7482" width="14.5546875" style="549" customWidth="1"/>
    <col min="7483" max="7483" width="16.33203125" style="549" customWidth="1"/>
    <col min="7484" max="7484" width="18.109375" style="549" customWidth="1"/>
    <col min="7485" max="7485" width="14.109375" style="549" customWidth="1"/>
    <col min="7486" max="7712" width="0" style="549" hidden="1"/>
    <col min="7713" max="7713" width="7.5546875" style="549" customWidth="1"/>
    <col min="7714" max="7714" width="36.77734375" style="549" customWidth="1"/>
    <col min="7715" max="7716" width="0" style="549" hidden="1"/>
    <col min="7717" max="7717" width="16.6640625" style="549" customWidth="1"/>
    <col min="7718" max="7718" width="17.33203125" style="549" customWidth="1"/>
    <col min="7719" max="7719" width="15.5546875" style="549" customWidth="1"/>
    <col min="7720" max="7720" width="0" style="549" hidden="1"/>
    <col min="7721" max="7721" width="16.6640625" style="549" customWidth="1"/>
    <col min="7722" max="7722" width="17.44140625" style="549" customWidth="1"/>
    <col min="7723" max="7724" width="0" style="549" hidden="1"/>
    <col min="7725" max="7727" width="15.33203125" style="549" customWidth="1"/>
    <col min="7728" max="7728" width="17" style="549" customWidth="1"/>
    <col min="7729" max="7729" width="0" style="549" hidden="1"/>
    <col min="7730" max="7731" width="15.5546875" style="549" customWidth="1"/>
    <col min="7732" max="7732" width="13.6640625" style="549" customWidth="1"/>
    <col min="7733" max="7733" width="9" style="549" customWidth="1"/>
    <col min="7734" max="7734" width="49.88671875" style="549" customWidth="1"/>
    <col min="7735" max="7735" width="0" style="549" hidden="1"/>
    <col min="7736" max="7737" width="15.88671875" style="549" customWidth="1"/>
    <col min="7738" max="7738" width="14.5546875" style="549" customWidth="1"/>
    <col min="7739" max="7739" width="16.33203125" style="549" customWidth="1"/>
    <col min="7740" max="7740" width="18.109375" style="549" customWidth="1"/>
    <col min="7741" max="7741" width="14.109375" style="549" customWidth="1"/>
    <col min="7742" max="7968" width="0" style="549" hidden="1"/>
    <col min="7969" max="7969" width="7.5546875" style="549" customWidth="1"/>
    <col min="7970" max="7970" width="36.77734375" style="549" customWidth="1"/>
    <col min="7971" max="7972" width="0" style="549" hidden="1"/>
    <col min="7973" max="7973" width="16.6640625" style="549" customWidth="1"/>
    <col min="7974" max="7974" width="17.33203125" style="549" customWidth="1"/>
    <col min="7975" max="7975" width="15.5546875" style="549" customWidth="1"/>
    <col min="7976" max="7976" width="0" style="549" hidden="1"/>
    <col min="7977" max="7977" width="16.6640625" style="549" customWidth="1"/>
    <col min="7978" max="7978" width="17.44140625" style="549" customWidth="1"/>
    <col min="7979" max="7980" width="0" style="549" hidden="1"/>
    <col min="7981" max="7983" width="15.33203125" style="549" customWidth="1"/>
    <col min="7984" max="7984" width="17" style="549" customWidth="1"/>
    <col min="7985" max="7985" width="0" style="549" hidden="1"/>
    <col min="7986" max="7987" width="15.5546875" style="549" customWidth="1"/>
    <col min="7988" max="7988" width="13.6640625" style="549" customWidth="1"/>
    <col min="7989" max="7989" width="9" style="549" customWidth="1"/>
    <col min="7990" max="7990" width="49.88671875" style="549" customWidth="1"/>
    <col min="7991" max="7991" width="0" style="549" hidden="1"/>
    <col min="7992" max="7993" width="15.88671875" style="549" customWidth="1"/>
    <col min="7994" max="7994" width="14.5546875" style="549" customWidth="1"/>
    <col min="7995" max="7995" width="16.33203125" style="549" customWidth="1"/>
    <col min="7996" max="7996" width="18.109375" style="549" customWidth="1"/>
    <col min="7997" max="7997" width="14.109375" style="549" customWidth="1"/>
    <col min="7998" max="8224" width="0" style="549" hidden="1"/>
    <col min="8225" max="8225" width="7.5546875" style="549" customWidth="1"/>
    <col min="8226" max="8226" width="36.77734375" style="549" customWidth="1"/>
    <col min="8227" max="8228" width="0" style="549" hidden="1"/>
    <col min="8229" max="8229" width="16.6640625" style="549" customWidth="1"/>
    <col min="8230" max="8230" width="17.33203125" style="549" customWidth="1"/>
    <col min="8231" max="8231" width="15.5546875" style="549" customWidth="1"/>
    <col min="8232" max="8232" width="0" style="549" hidden="1"/>
    <col min="8233" max="8233" width="16.6640625" style="549" customWidth="1"/>
    <col min="8234" max="8234" width="17.44140625" style="549" customWidth="1"/>
    <col min="8235" max="8236" width="0" style="549" hidden="1"/>
    <col min="8237" max="8239" width="15.33203125" style="549" customWidth="1"/>
    <col min="8240" max="8240" width="17" style="549" customWidth="1"/>
    <col min="8241" max="8241" width="0" style="549" hidden="1"/>
    <col min="8242" max="8243" width="15.5546875" style="549" customWidth="1"/>
    <col min="8244" max="8244" width="13.6640625" style="549" customWidth="1"/>
    <col min="8245" max="8245" width="9" style="549" customWidth="1"/>
    <col min="8246" max="8246" width="49.88671875" style="549" customWidth="1"/>
    <col min="8247" max="8247" width="0" style="549" hidden="1"/>
    <col min="8248" max="8249" width="15.88671875" style="549" customWidth="1"/>
    <col min="8250" max="8250" width="14.5546875" style="549" customWidth="1"/>
    <col min="8251" max="8251" width="16.33203125" style="549" customWidth="1"/>
    <col min="8252" max="8252" width="18.109375" style="549" customWidth="1"/>
    <col min="8253" max="8253" width="14.109375" style="549" customWidth="1"/>
    <col min="8254" max="8480" width="0" style="549" hidden="1"/>
    <col min="8481" max="8481" width="7.5546875" style="549" customWidth="1"/>
    <col min="8482" max="8482" width="36.77734375" style="549" customWidth="1"/>
    <col min="8483" max="8484" width="0" style="549" hidden="1"/>
    <col min="8485" max="8485" width="16.6640625" style="549" customWidth="1"/>
    <col min="8486" max="8486" width="17.33203125" style="549" customWidth="1"/>
    <col min="8487" max="8487" width="15.5546875" style="549" customWidth="1"/>
    <col min="8488" max="8488" width="0" style="549" hidden="1"/>
    <col min="8489" max="8489" width="16.6640625" style="549" customWidth="1"/>
    <col min="8490" max="8490" width="17.44140625" style="549" customWidth="1"/>
    <col min="8491" max="8492" width="0" style="549" hidden="1"/>
    <col min="8493" max="8495" width="15.33203125" style="549" customWidth="1"/>
    <col min="8496" max="8496" width="17" style="549" customWidth="1"/>
    <col min="8497" max="8497" width="0" style="549" hidden="1"/>
    <col min="8498" max="8499" width="15.5546875" style="549" customWidth="1"/>
    <col min="8500" max="8500" width="13.6640625" style="549" customWidth="1"/>
    <col min="8501" max="8501" width="9" style="549" customWidth="1"/>
    <col min="8502" max="8502" width="49.88671875" style="549" customWidth="1"/>
    <col min="8503" max="8503" width="0" style="549" hidden="1"/>
    <col min="8504" max="8505" width="15.88671875" style="549" customWidth="1"/>
    <col min="8506" max="8506" width="14.5546875" style="549" customWidth="1"/>
    <col min="8507" max="8507" width="16.33203125" style="549" customWidth="1"/>
    <col min="8508" max="8508" width="18.109375" style="549" customWidth="1"/>
    <col min="8509" max="8509" width="14.109375" style="549" customWidth="1"/>
    <col min="8510" max="8736" width="0" style="549" hidden="1"/>
    <col min="8737" max="8737" width="7.5546875" style="549" customWidth="1"/>
    <col min="8738" max="8738" width="36.77734375" style="549" customWidth="1"/>
    <col min="8739" max="8740" width="0" style="549" hidden="1"/>
    <col min="8741" max="8741" width="16.6640625" style="549" customWidth="1"/>
    <col min="8742" max="8742" width="17.33203125" style="549" customWidth="1"/>
    <col min="8743" max="8743" width="15.5546875" style="549" customWidth="1"/>
    <col min="8744" max="8744" width="0" style="549" hidden="1"/>
    <col min="8745" max="8745" width="16.6640625" style="549" customWidth="1"/>
    <col min="8746" max="8746" width="17.44140625" style="549" customWidth="1"/>
    <col min="8747" max="8748" width="0" style="549" hidden="1"/>
    <col min="8749" max="8751" width="15.33203125" style="549" customWidth="1"/>
    <col min="8752" max="8752" width="17" style="549" customWidth="1"/>
    <col min="8753" max="8753" width="0" style="549" hidden="1"/>
    <col min="8754" max="8755" width="15.5546875" style="549" customWidth="1"/>
    <col min="8756" max="8756" width="13.6640625" style="549" customWidth="1"/>
    <col min="8757" max="8757" width="9" style="549" customWidth="1"/>
    <col min="8758" max="8758" width="49.88671875" style="549" customWidth="1"/>
    <col min="8759" max="8759" width="0" style="549" hidden="1"/>
    <col min="8760" max="8761" width="15.88671875" style="549" customWidth="1"/>
    <col min="8762" max="8762" width="14.5546875" style="549" customWidth="1"/>
    <col min="8763" max="8763" width="16.33203125" style="549" customWidth="1"/>
    <col min="8764" max="8764" width="18.109375" style="549" customWidth="1"/>
    <col min="8765" max="8765" width="14.109375" style="549" customWidth="1"/>
    <col min="8766" max="8992" width="0" style="549" hidden="1"/>
    <col min="8993" max="8993" width="7.5546875" style="549" customWidth="1"/>
    <col min="8994" max="8994" width="36.77734375" style="549" customWidth="1"/>
    <col min="8995" max="8996" width="0" style="549" hidden="1"/>
    <col min="8997" max="8997" width="16.6640625" style="549" customWidth="1"/>
    <col min="8998" max="8998" width="17.33203125" style="549" customWidth="1"/>
    <col min="8999" max="8999" width="15.5546875" style="549" customWidth="1"/>
    <col min="9000" max="9000" width="0" style="549" hidden="1"/>
    <col min="9001" max="9001" width="16.6640625" style="549" customWidth="1"/>
    <col min="9002" max="9002" width="17.44140625" style="549" customWidth="1"/>
    <col min="9003" max="9004" width="0" style="549" hidden="1"/>
    <col min="9005" max="9007" width="15.33203125" style="549" customWidth="1"/>
    <col min="9008" max="9008" width="17" style="549" customWidth="1"/>
    <col min="9009" max="9009" width="0" style="549" hidden="1"/>
    <col min="9010" max="9011" width="15.5546875" style="549" customWidth="1"/>
    <col min="9012" max="9012" width="13.6640625" style="549" customWidth="1"/>
    <col min="9013" max="9013" width="9" style="549" customWidth="1"/>
    <col min="9014" max="9014" width="49.88671875" style="549" customWidth="1"/>
    <col min="9015" max="9015" width="0" style="549" hidden="1"/>
    <col min="9016" max="9017" width="15.88671875" style="549" customWidth="1"/>
    <col min="9018" max="9018" width="14.5546875" style="549" customWidth="1"/>
    <col min="9019" max="9019" width="16.33203125" style="549" customWidth="1"/>
    <col min="9020" max="9020" width="18.109375" style="549" customWidth="1"/>
    <col min="9021" max="9021" width="14.109375" style="549" customWidth="1"/>
    <col min="9022" max="9248" width="0" style="549" hidden="1"/>
    <col min="9249" max="9249" width="7.5546875" style="549" customWidth="1"/>
    <col min="9250" max="9250" width="36.77734375" style="549" customWidth="1"/>
    <col min="9251" max="9252" width="0" style="549" hidden="1"/>
    <col min="9253" max="9253" width="16.6640625" style="549" customWidth="1"/>
    <col min="9254" max="9254" width="17.33203125" style="549" customWidth="1"/>
    <col min="9255" max="9255" width="15.5546875" style="549" customWidth="1"/>
    <col min="9256" max="9256" width="0" style="549" hidden="1"/>
    <col min="9257" max="9257" width="16.6640625" style="549" customWidth="1"/>
    <col min="9258" max="9258" width="17.44140625" style="549" customWidth="1"/>
    <col min="9259" max="9260" width="0" style="549" hidden="1"/>
    <col min="9261" max="9263" width="15.33203125" style="549" customWidth="1"/>
    <col min="9264" max="9264" width="17" style="549" customWidth="1"/>
    <col min="9265" max="9265" width="0" style="549" hidden="1"/>
    <col min="9266" max="9267" width="15.5546875" style="549" customWidth="1"/>
    <col min="9268" max="9268" width="13.6640625" style="549" customWidth="1"/>
    <col min="9269" max="9269" width="9" style="549" customWidth="1"/>
    <col min="9270" max="9270" width="49.88671875" style="549" customWidth="1"/>
    <col min="9271" max="9271" width="0" style="549" hidden="1"/>
    <col min="9272" max="9273" width="15.88671875" style="549" customWidth="1"/>
    <col min="9274" max="9274" width="14.5546875" style="549" customWidth="1"/>
    <col min="9275" max="9275" width="16.33203125" style="549" customWidth="1"/>
    <col min="9276" max="9276" width="18.109375" style="549" customWidth="1"/>
    <col min="9277" max="9277" width="14.109375" style="549" customWidth="1"/>
    <col min="9278" max="9504" width="0" style="549" hidden="1"/>
    <col min="9505" max="9505" width="7.5546875" style="549" customWidth="1"/>
    <col min="9506" max="9506" width="36.77734375" style="549" customWidth="1"/>
    <col min="9507" max="9508" width="0" style="549" hidden="1"/>
    <col min="9509" max="9509" width="16.6640625" style="549" customWidth="1"/>
    <col min="9510" max="9510" width="17.33203125" style="549" customWidth="1"/>
    <col min="9511" max="9511" width="15.5546875" style="549" customWidth="1"/>
    <col min="9512" max="9512" width="0" style="549" hidden="1"/>
    <col min="9513" max="9513" width="16.6640625" style="549" customWidth="1"/>
    <col min="9514" max="9514" width="17.44140625" style="549" customWidth="1"/>
    <col min="9515" max="9516" width="0" style="549" hidden="1"/>
    <col min="9517" max="9519" width="15.33203125" style="549" customWidth="1"/>
    <col min="9520" max="9520" width="17" style="549" customWidth="1"/>
    <col min="9521" max="9521" width="0" style="549" hidden="1"/>
    <col min="9522" max="9523" width="15.5546875" style="549" customWidth="1"/>
    <col min="9524" max="9524" width="13.6640625" style="549" customWidth="1"/>
    <col min="9525" max="9525" width="9" style="549" customWidth="1"/>
    <col min="9526" max="9526" width="49.88671875" style="549" customWidth="1"/>
    <col min="9527" max="9527" width="0" style="549" hidden="1"/>
    <col min="9528" max="9529" width="15.88671875" style="549" customWidth="1"/>
    <col min="9530" max="9530" width="14.5546875" style="549" customWidth="1"/>
    <col min="9531" max="9531" width="16.33203125" style="549" customWidth="1"/>
    <col min="9532" max="9532" width="18.109375" style="549" customWidth="1"/>
    <col min="9533" max="9533" width="14.109375" style="549" customWidth="1"/>
    <col min="9534" max="9760" width="0" style="549" hidden="1"/>
    <col min="9761" max="9761" width="7.5546875" style="549" customWidth="1"/>
    <col min="9762" max="9762" width="36.77734375" style="549" customWidth="1"/>
    <col min="9763" max="9764" width="0" style="549" hidden="1"/>
    <col min="9765" max="9765" width="16.6640625" style="549" customWidth="1"/>
    <col min="9766" max="9766" width="17.33203125" style="549" customWidth="1"/>
    <col min="9767" max="9767" width="15.5546875" style="549" customWidth="1"/>
    <col min="9768" max="9768" width="0" style="549" hidden="1"/>
    <col min="9769" max="9769" width="16.6640625" style="549" customWidth="1"/>
    <col min="9770" max="9770" width="17.44140625" style="549" customWidth="1"/>
    <col min="9771" max="9772" width="0" style="549" hidden="1"/>
    <col min="9773" max="9775" width="15.33203125" style="549" customWidth="1"/>
    <col min="9776" max="9776" width="17" style="549" customWidth="1"/>
    <col min="9777" max="9777" width="0" style="549" hidden="1"/>
    <col min="9778" max="9779" width="15.5546875" style="549" customWidth="1"/>
    <col min="9780" max="9780" width="13.6640625" style="549" customWidth="1"/>
    <col min="9781" max="9781" width="9" style="549" customWidth="1"/>
    <col min="9782" max="9782" width="49.88671875" style="549" customWidth="1"/>
    <col min="9783" max="9783" width="0" style="549" hidden="1"/>
    <col min="9784" max="9785" width="15.88671875" style="549" customWidth="1"/>
    <col min="9786" max="9786" width="14.5546875" style="549" customWidth="1"/>
    <col min="9787" max="9787" width="16.33203125" style="549" customWidth="1"/>
    <col min="9788" max="9788" width="18.109375" style="549" customWidth="1"/>
    <col min="9789" max="9789" width="14.109375" style="549" customWidth="1"/>
    <col min="9790" max="10016" width="0" style="549" hidden="1"/>
    <col min="10017" max="10017" width="7.5546875" style="549" customWidth="1"/>
    <col min="10018" max="10018" width="36.77734375" style="549" customWidth="1"/>
    <col min="10019" max="10020" width="0" style="549" hidden="1"/>
    <col min="10021" max="10021" width="16.6640625" style="549" customWidth="1"/>
    <col min="10022" max="10022" width="17.33203125" style="549" customWidth="1"/>
    <col min="10023" max="10023" width="15.5546875" style="549" customWidth="1"/>
    <col min="10024" max="10024" width="0" style="549" hidden="1"/>
    <col min="10025" max="10025" width="16.6640625" style="549" customWidth="1"/>
    <col min="10026" max="10026" width="17.44140625" style="549" customWidth="1"/>
    <col min="10027" max="10028" width="0" style="549" hidden="1"/>
    <col min="10029" max="10031" width="15.33203125" style="549" customWidth="1"/>
    <col min="10032" max="10032" width="17" style="549" customWidth="1"/>
    <col min="10033" max="10033" width="0" style="549" hidden="1"/>
    <col min="10034" max="10035" width="15.5546875" style="549" customWidth="1"/>
    <col min="10036" max="10036" width="13.6640625" style="549" customWidth="1"/>
    <col min="10037" max="10037" width="9" style="549" customWidth="1"/>
    <col min="10038" max="10038" width="49.88671875" style="549" customWidth="1"/>
    <col min="10039" max="10039" width="0" style="549" hidden="1"/>
    <col min="10040" max="10041" width="15.88671875" style="549" customWidth="1"/>
    <col min="10042" max="10042" width="14.5546875" style="549" customWidth="1"/>
    <col min="10043" max="10043" width="16.33203125" style="549" customWidth="1"/>
    <col min="10044" max="10044" width="18.109375" style="549" customWidth="1"/>
    <col min="10045" max="10045" width="14.109375" style="549" customWidth="1"/>
    <col min="10046" max="10272" width="0" style="549" hidden="1"/>
    <col min="10273" max="10273" width="7.5546875" style="549" customWidth="1"/>
    <col min="10274" max="10274" width="36.77734375" style="549" customWidth="1"/>
    <col min="10275" max="10276" width="0" style="549" hidden="1"/>
    <col min="10277" max="10277" width="16.6640625" style="549" customWidth="1"/>
    <col min="10278" max="10278" width="17.33203125" style="549" customWidth="1"/>
    <col min="10279" max="10279" width="15.5546875" style="549" customWidth="1"/>
    <col min="10280" max="10280" width="0" style="549" hidden="1"/>
    <col min="10281" max="10281" width="16.6640625" style="549" customWidth="1"/>
    <col min="10282" max="10282" width="17.44140625" style="549" customWidth="1"/>
    <col min="10283" max="10284" width="0" style="549" hidden="1"/>
    <col min="10285" max="10287" width="15.33203125" style="549" customWidth="1"/>
    <col min="10288" max="10288" width="17" style="549" customWidth="1"/>
    <col min="10289" max="10289" width="0" style="549" hidden="1"/>
    <col min="10290" max="10291" width="15.5546875" style="549" customWidth="1"/>
    <col min="10292" max="10292" width="13.6640625" style="549" customWidth="1"/>
    <col min="10293" max="10293" width="9" style="549" customWidth="1"/>
    <col min="10294" max="10294" width="49.88671875" style="549" customWidth="1"/>
    <col min="10295" max="10295" width="0" style="549" hidden="1"/>
    <col min="10296" max="10297" width="15.88671875" style="549" customWidth="1"/>
    <col min="10298" max="10298" width="14.5546875" style="549" customWidth="1"/>
    <col min="10299" max="10299" width="16.33203125" style="549" customWidth="1"/>
    <col min="10300" max="10300" width="18.109375" style="549" customWidth="1"/>
    <col min="10301" max="10301" width="14.109375" style="549" customWidth="1"/>
    <col min="10302" max="10528" width="0" style="549" hidden="1"/>
    <col min="10529" max="10529" width="7.5546875" style="549" customWidth="1"/>
    <col min="10530" max="10530" width="36.77734375" style="549" customWidth="1"/>
    <col min="10531" max="10532" width="0" style="549" hidden="1"/>
    <col min="10533" max="10533" width="16.6640625" style="549" customWidth="1"/>
    <col min="10534" max="10534" width="17.33203125" style="549" customWidth="1"/>
    <col min="10535" max="10535" width="15.5546875" style="549" customWidth="1"/>
    <col min="10536" max="10536" width="0" style="549" hidden="1"/>
    <col min="10537" max="10537" width="16.6640625" style="549" customWidth="1"/>
    <col min="10538" max="10538" width="17.44140625" style="549" customWidth="1"/>
    <col min="10539" max="10540" width="0" style="549" hidden="1"/>
    <col min="10541" max="10543" width="15.33203125" style="549" customWidth="1"/>
    <col min="10544" max="10544" width="17" style="549" customWidth="1"/>
    <col min="10545" max="10545" width="0" style="549" hidden="1"/>
    <col min="10546" max="10547" width="15.5546875" style="549" customWidth="1"/>
    <col min="10548" max="10548" width="13.6640625" style="549" customWidth="1"/>
    <col min="10549" max="10549" width="9" style="549" customWidth="1"/>
    <col min="10550" max="10550" width="49.88671875" style="549" customWidth="1"/>
    <col min="10551" max="10551" width="0" style="549" hidden="1"/>
    <col min="10552" max="10553" width="15.88671875" style="549" customWidth="1"/>
    <col min="10554" max="10554" width="14.5546875" style="549" customWidth="1"/>
    <col min="10555" max="10555" width="16.33203125" style="549" customWidth="1"/>
    <col min="10556" max="10556" width="18.109375" style="549" customWidth="1"/>
    <col min="10557" max="10557" width="14.109375" style="549" customWidth="1"/>
    <col min="10558" max="10784" width="0" style="549" hidden="1"/>
    <col min="10785" max="10785" width="7.5546875" style="549" customWidth="1"/>
    <col min="10786" max="10786" width="36.77734375" style="549" customWidth="1"/>
    <col min="10787" max="10788" width="0" style="549" hidden="1"/>
    <col min="10789" max="10789" width="16.6640625" style="549" customWidth="1"/>
    <col min="10790" max="10790" width="17.33203125" style="549" customWidth="1"/>
    <col min="10791" max="10791" width="15.5546875" style="549" customWidth="1"/>
    <col min="10792" max="10792" width="0" style="549" hidden="1"/>
    <col min="10793" max="10793" width="16.6640625" style="549" customWidth="1"/>
    <col min="10794" max="10794" width="17.44140625" style="549" customWidth="1"/>
    <col min="10795" max="10796" width="0" style="549" hidden="1"/>
    <col min="10797" max="10799" width="15.33203125" style="549" customWidth="1"/>
    <col min="10800" max="10800" width="17" style="549" customWidth="1"/>
    <col min="10801" max="10801" width="0" style="549" hidden="1"/>
    <col min="10802" max="10803" width="15.5546875" style="549" customWidth="1"/>
    <col min="10804" max="10804" width="13.6640625" style="549" customWidth="1"/>
    <col min="10805" max="10805" width="9" style="549" customWidth="1"/>
    <col min="10806" max="10806" width="49.88671875" style="549" customWidth="1"/>
    <col min="10807" max="10807" width="0" style="549" hidden="1"/>
    <col min="10808" max="10809" width="15.88671875" style="549" customWidth="1"/>
    <col min="10810" max="10810" width="14.5546875" style="549" customWidth="1"/>
    <col min="10811" max="10811" width="16.33203125" style="549" customWidth="1"/>
    <col min="10812" max="10812" width="18.109375" style="549" customWidth="1"/>
    <col min="10813" max="10813" width="14.109375" style="549" customWidth="1"/>
    <col min="10814" max="11040" width="0" style="549" hidden="1"/>
    <col min="11041" max="11041" width="7.5546875" style="549" customWidth="1"/>
    <col min="11042" max="11042" width="36.77734375" style="549" customWidth="1"/>
    <col min="11043" max="11044" width="0" style="549" hidden="1"/>
    <col min="11045" max="11045" width="16.6640625" style="549" customWidth="1"/>
    <col min="11046" max="11046" width="17.33203125" style="549" customWidth="1"/>
    <col min="11047" max="11047" width="15.5546875" style="549" customWidth="1"/>
    <col min="11048" max="11048" width="0" style="549" hidden="1"/>
    <col min="11049" max="11049" width="16.6640625" style="549" customWidth="1"/>
    <col min="11050" max="11050" width="17.44140625" style="549" customWidth="1"/>
    <col min="11051" max="11052" width="0" style="549" hidden="1"/>
    <col min="11053" max="11055" width="15.33203125" style="549" customWidth="1"/>
    <col min="11056" max="11056" width="17" style="549" customWidth="1"/>
    <col min="11057" max="11057" width="0" style="549" hidden="1"/>
    <col min="11058" max="11059" width="15.5546875" style="549" customWidth="1"/>
    <col min="11060" max="11060" width="13.6640625" style="549" customWidth="1"/>
    <col min="11061" max="11061" width="9" style="549" customWidth="1"/>
    <col min="11062" max="11062" width="49.88671875" style="549" customWidth="1"/>
    <col min="11063" max="11063" width="0" style="549" hidden="1"/>
    <col min="11064" max="11065" width="15.88671875" style="549" customWidth="1"/>
    <col min="11066" max="11066" width="14.5546875" style="549" customWidth="1"/>
    <col min="11067" max="11067" width="16.33203125" style="549" customWidth="1"/>
    <col min="11068" max="11068" width="18.109375" style="549" customWidth="1"/>
    <col min="11069" max="11069" width="14.109375" style="549" customWidth="1"/>
    <col min="11070" max="11296" width="0" style="549" hidden="1"/>
    <col min="11297" max="11297" width="7.5546875" style="549" customWidth="1"/>
    <col min="11298" max="11298" width="36.77734375" style="549" customWidth="1"/>
    <col min="11299" max="11300" width="0" style="549" hidden="1"/>
    <col min="11301" max="11301" width="16.6640625" style="549" customWidth="1"/>
    <col min="11302" max="11302" width="17.33203125" style="549" customWidth="1"/>
    <col min="11303" max="11303" width="15.5546875" style="549" customWidth="1"/>
    <col min="11304" max="11304" width="0" style="549" hidden="1"/>
    <col min="11305" max="11305" width="16.6640625" style="549" customWidth="1"/>
    <col min="11306" max="11306" width="17.44140625" style="549" customWidth="1"/>
    <col min="11307" max="11308" width="0" style="549" hidden="1"/>
    <col min="11309" max="11311" width="15.33203125" style="549" customWidth="1"/>
    <col min="11312" max="11312" width="17" style="549" customWidth="1"/>
    <col min="11313" max="11313" width="0" style="549" hidden="1"/>
    <col min="11314" max="11315" width="15.5546875" style="549" customWidth="1"/>
    <col min="11316" max="11316" width="13.6640625" style="549" customWidth="1"/>
    <col min="11317" max="11317" width="9" style="549" customWidth="1"/>
    <col min="11318" max="11318" width="49.88671875" style="549" customWidth="1"/>
    <col min="11319" max="11319" width="0" style="549" hidden="1"/>
    <col min="11320" max="11321" width="15.88671875" style="549" customWidth="1"/>
    <col min="11322" max="11322" width="14.5546875" style="549" customWidth="1"/>
    <col min="11323" max="11323" width="16.33203125" style="549" customWidth="1"/>
    <col min="11324" max="11324" width="18.109375" style="549" customWidth="1"/>
    <col min="11325" max="11325" width="14.109375" style="549" customWidth="1"/>
    <col min="11326" max="11552" width="0" style="549" hidden="1"/>
    <col min="11553" max="11553" width="7.5546875" style="549" customWidth="1"/>
    <col min="11554" max="11554" width="36.77734375" style="549" customWidth="1"/>
    <col min="11555" max="11556" width="0" style="549" hidden="1"/>
    <col min="11557" max="11557" width="16.6640625" style="549" customWidth="1"/>
    <col min="11558" max="11558" width="17.33203125" style="549" customWidth="1"/>
    <col min="11559" max="11559" width="15.5546875" style="549" customWidth="1"/>
    <col min="11560" max="11560" width="0" style="549" hidden="1"/>
    <col min="11561" max="11561" width="16.6640625" style="549" customWidth="1"/>
    <col min="11562" max="11562" width="17.44140625" style="549" customWidth="1"/>
    <col min="11563" max="11564" width="0" style="549" hidden="1"/>
    <col min="11565" max="11567" width="15.33203125" style="549" customWidth="1"/>
    <col min="11568" max="11568" width="17" style="549" customWidth="1"/>
    <col min="11569" max="11569" width="0" style="549" hidden="1"/>
    <col min="11570" max="11571" width="15.5546875" style="549" customWidth="1"/>
    <col min="11572" max="11572" width="13.6640625" style="549" customWidth="1"/>
    <col min="11573" max="11573" width="9" style="549" customWidth="1"/>
    <col min="11574" max="11574" width="49.88671875" style="549" customWidth="1"/>
    <col min="11575" max="11575" width="0" style="549" hidden="1"/>
    <col min="11576" max="11577" width="15.88671875" style="549" customWidth="1"/>
    <col min="11578" max="11578" width="14.5546875" style="549" customWidth="1"/>
    <col min="11579" max="11579" width="16.33203125" style="549" customWidth="1"/>
    <col min="11580" max="11580" width="18.109375" style="549" customWidth="1"/>
    <col min="11581" max="11581" width="14.109375" style="549" customWidth="1"/>
    <col min="11582" max="11808" width="0" style="549" hidden="1"/>
    <col min="11809" max="11809" width="7.5546875" style="549" customWidth="1"/>
    <col min="11810" max="11810" width="36.77734375" style="549" customWidth="1"/>
    <col min="11811" max="11812" width="0" style="549" hidden="1"/>
    <col min="11813" max="11813" width="16.6640625" style="549" customWidth="1"/>
    <col min="11814" max="11814" width="17.33203125" style="549" customWidth="1"/>
    <col min="11815" max="11815" width="15.5546875" style="549" customWidth="1"/>
    <col min="11816" max="11816" width="0" style="549" hidden="1"/>
    <col min="11817" max="11817" width="16.6640625" style="549" customWidth="1"/>
    <col min="11818" max="11818" width="17.44140625" style="549" customWidth="1"/>
    <col min="11819" max="11820" width="0" style="549" hidden="1"/>
    <col min="11821" max="11823" width="15.33203125" style="549" customWidth="1"/>
    <col min="11824" max="11824" width="17" style="549" customWidth="1"/>
    <col min="11825" max="11825" width="0" style="549" hidden="1"/>
    <col min="11826" max="11827" width="15.5546875" style="549" customWidth="1"/>
    <col min="11828" max="11828" width="13.6640625" style="549" customWidth="1"/>
    <col min="11829" max="11829" width="9" style="549" customWidth="1"/>
    <col min="11830" max="11830" width="49.88671875" style="549" customWidth="1"/>
    <col min="11831" max="11831" width="0" style="549" hidden="1"/>
    <col min="11832" max="11833" width="15.88671875" style="549" customWidth="1"/>
    <col min="11834" max="11834" width="14.5546875" style="549" customWidth="1"/>
    <col min="11835" max="11835" width="16.33203125" style="549" customWidth="1"/>
    <col min="11836" max="11836" width="18.109375" style="549" customWidth="1"/>
    <col min="11837" max="11837" width="14.109375" style="549" customWidth="1"/>
    <col min="11838" max="12064" width="0" style="549" hidden="1"/>
    <col min="12065" max="12065" width="7.5546875" style="549" customWidth="1"/>
    <col min="12066" max="12066" width="36.77734375" style="549" customWidth="1"/>
    <col min="12067" max="12068" width="0" style="549" hidden="1"/>
    <col min="12069" max="12069" width="16.6640625" style="549" customWidth="1"/>
    <col min="12070" max="12070" width="17.33203125" style="549" customWidth="1"/>
    <col min="12071" max="12071" width="15.5546875" style="549" customWidth="1"/>
    <col min="12072" max="12072" width="0" style="549" hidden="1"/>
    <col min="12073" max="12073" width="16.6640625" style="549" customWidth="1"/>
    <col min="12074" max="12074" width="17.44140625" style="549" customWidth="1"/>
    <col min="12075" max="12076" width="0" style="549" hidden="1"/>
    <col min="12077" max="12079" width="15.33203125" style="549" customWidth="1"/>
    <col min="12080" max="12080" width="17" style="549" customWidth="1"/>
    <col min="12081" max="12081" width="0" style="549" hidden="1"/>
    <col min="12082" max="12083" width="15.5546875" style="549" customWidth="1"/>
    <col min="12084" max="12084" width="13.6640625" style="549" customWidth="1"/>
    <col min="12085" max="12085" width="9" style="549" customWidth="1"/>
    <col min="12086" max="12086" width="49.88671875" style="549" customWidth="1"/>
    <col min="12087" max="12087" width="0" style="549" hidden="1"/>
    <col min="12088" max="12089" width="15.88671875" style="549" customWidth="1"/>
    <col min="12090" max="12090" width="14.5546875" style="549" customWidth="1"/>
    <col min="12091" max="12091" width="16.33203125" style="549" customWidth="1"/>
    <col min="12092" max="12092" width="18.109375" style="549" customWidth="1"/>
    <col min="12093" max="12093" width="14.109375" style="549" customWidth="1"/>
    <col min="12094" max="12320" width="0" style="549" hidden="1"/>
    <col min="12321" max="12321" width="7.5546875" style="549" customWidth="1"/>
    <col min="12322" max="12322" width="36.77734375" style="549" customWidth="1"/>
    <col min="12323" max="12324" width="0" style="549" hidden="1"/>
    <col min="12325" max="12325" width="16.6640625" style="549" customWidth="1"/>
    <col min="12326" max="12326" width="17.33203125" style="549" customWidth="1"/>
    <col min="12327" max="12327" width="15.5546875" style="549" customWidth="1"/>
    <col min="12328" max="12328" width="0" style="549" hidden="1"/>
    <col min="12329" max="12329" width="16.6640625" style="549" customWidth="1"/>
    <col min="12330" max="12330" width="17.44140625" style="549" customWidth="1"/>
    <col min="12331" max="12332" width="0" style="549" hidden="1"/>
    <col min="12333" max="12335" width="15.33203125" style="549" customWidth="1"/>
    <col min="12336" max="12336" width="17" style="549" customWidth="1"/>
    <col min="12337" max="12337" width="0" style="549" hidden="1"/>
    <col min="12338" max="12339" width="15.5546875" style="549" customWidth="1"/>
    <col min="12340" max="12340" width="13.6640625" style="549" customWidth="1"/>
    <col min="12341" max="12341" width="9" style="549" customWidth="1"/>
    <col min="12342" max="12342" width="49.88671875" style="549" customWidth="1"/>
    <col min="12343" max="12343" width="0" style="549" hidden="1"/>
    <col min="12344" max="12345" width="15.88671875" style="549" customWidth="1"/>
    <col min="12346" max="12346" width="14.5546875" style="549" customWidth="1"/>
    <col min="12347" max="12347" width="16.33203125" style="549" customWidth="1"/>
    <col min="12348" max="12348" width="18.109375" style="549" customWidth="1"/>
    <col min="12349" max="12349" width="14.109375" style="549" customWidth="1"/>
    <col min="12350" max="12576" width="0" style="549" hidden="1"/>
    <col min="12577" max="12577" width="7.5546875" style="549" customWidth="1"/>
    <col min="12578" max="12578" width="36.77734375" style="549" customWidth="1"/>
    <col min="12579" max="12580" width="0" style="549" hidden="1"/>
    <col min="12581" max="12581" width="16.6640625" style="549" customWidth="1"/>
    <col min="12582" max="12582" width="17.33203125" style="549" customWidth="1"/>
    <col min="12583" max="12583" width="15.5546875" style="549" customWidth="1"/>
    <col min="12584" max="12584" width="0" style="549" hidden="1"/>
    <col min="12585" max="12585" width="16.6640625" style="549" customWidth="1"/>
    <col min="12586" max="12586" width="17.44140625" style="549" customWidth="1"/>
    <col min="12587" max="12588" width="0" style="549" hidden="1"/>
    <col min="12589" max="12591" width="15.33203125" style="549" customWidth="1"/>
    <col min="12592" max="12592" width="17" style="549" customWidth="1"/>
    <col min="12593" max="12593" width="0" style="549" hidden="1"/>
    <col min="12594" max="12595" width="15.5546875" style="549" customWidth="1"/>
    <col min="12596" max="12596" width="13.6640625" style="549" customWidth="1"/>
    <col min="12597" max="12597" width="9" style="549" customWidth="1"/>
    <col min="12598" max="12598" width="49.88671875" style="549" customWidth="1"/>
    <col min="12599" max="12599" width="0" style="549" hidden="1"/>
    <col min="12600" max="12601" width="15.88671875" style="549" customWidth="1"/>
    <col min="12602" max="12602" width="14.5546875" style="549" customWidth="1"/>
    <col min="12603" max="12603" width="16.33203125" style="549" customWidth="1"/>
    <col min="12604" max="12604" width="18.109375" style="549" customWidth="1"/>
    <col min="12605" max="12605" width="14.109375" style="549" customWidth="1"/>
    <col min="12606" max="12832" width="0" style="549" hidden="1"/>
    <col min="12833" max="12833" width="7.5546875" style="549" customWidth="1"/>
    <col min="12834" max="12834" width="36.77734375" style="549" customWidth="1"/>
    <col min="12835" max="12836" width="0" style="549" hidden="1"/>
    <col min="12837" max="12837" width="16.6640625" style="549" customWidth="1"/>
    <col min="12838" max="12838" width="17.33203125" style="549" customWidth="1"/>
    <col min="12839" max="12839" width="15.5546875" style="549" customWidth="1"/>
    <col min="12840" max="12840" width="0" style="549" hidden="1"/>
    <col min="12841" max="12841" width="16.6640625" style="549" customWidth="1"/>
    <col min="12842" max="12842" width="17.44140625" style="549" customWidth="1"/>
    <col min="12843" max="12844" width="0" style="549" hidden="1"/>
    <col min="12845" max="12847" width="15.33203125" style="549" customWidth="1"/>
    <col min="12848" max="12848" width="17" style="549" customWidth="1"/>
    <col min="12849" max="12849" width="0" style="549" hidden="1"/>
    <col min="12850" max="12851" width="15.5546875" style="549" customWidth="1"/>
    <col min="12852" max="12852" width="13.6640625" style="549" customWidth="1"/>
    <col min="12853" max="12853" width="9" style="549" customWidth="1"/>
    <col min="12854" max="12854" width="49.88671875" style="549" customWidth="1"/>
    <col min="12855" max="12855" width="0" style="549" hidden="1"/>
    <col min="12856" max="12857" width="15.88671875" style="549" customWidth="1"/>
    <col min="12858" max="12858" width="14.5546875" style="549" customWidth="1"/>
    <col min="12859" max="12859" width="16.33203125" style="549" customWidth="1"/>
    <col min="12860" max="12860" width="18.109375" style="549" customWidth="1"/>
    <col min="12861" max="12861" width="14.109375" style="549" customWidth="1"/>
    <col min="12862" max="13088" width="0" style="549" hidden="1"/>
    <col min="13089" max="13089" width="7.5546875" style="549" customWidth="1"/>
    <col min="13090" max="13090" width="36.77734375" style="549" customWidth="1"/>
    <col min="13091" max="13092" width="0" style="549" hidden="1"/>
    <col min="13093" max="13093" width="16.6640625" style="549" customWidth="1"/>
    <col min="13094" max="13094" width="17.33203125" style="549" customWidth="1"/>
    <col min="13095" max="13095" width="15.5546875" style="549" customWidth="1"/>
    <col min="13096" max="13096" width="0" style="549" hidden="1"/>
    <col min="13097" max="13097" width="16.6640625" style="549" customWidth="1"/>
    <col min="13098" max="13098" width="17.44140625" style="549" customWidth="1"/>
    <col min="13099" max="13100" width="0" style="549" hidden="1"/>
    <col min="13101" max="13103" width="15.33203125" style="549" customWidth="1"/>
    <col min="13104" max="13104" width="17" style="549" customWidth="1"/>
    <col min="13105" max="13105" width="0" style="549" hidden="1"/>
    <col min="13106" max="13107" width="15.5546875" style="549" customWidth="1"/>
    <col min="13108" max="13108" width="13.6640625" style="549" customWidth="1"/>
    <col min="13109" max="13109" width="9" style="549" customWidth="1"/>
    <col min="13110" max="13110" width="49.88671875" style="549" customWidth="1"/>
    <col min="13111" max="13111" width="0" style="549" hidden="1"/>
    <col min="13112" max="13113" width="15.88671875" style="549" customWidth="1"/>
    <col min="13114" max="13114" width="14.5546875" style="549" customWidth="1"/>
    <col min="13115" max="13115" width="16.33203125" style="549" customWidth="1"/>
    <col min="13116" max="13116" width="18.109375" style="549" customWidth="1"/>
    <col min="13117" max="13117" width="14.109375" style="549" customWidth="1"/>
    <col min="13118" max="13344" width="0" style="549" hidden="1"/>
    <col min="13345" max="13345" width="7.5546875" style="549" customWidth="1"/>
    <col min="13346" max="13346" width="36.77734375" style="549" customWidth="1"/>
    <col min="13347" max="13348" width="0" style="549" hidden="1"/>
    <col min="13349" max="13349" width="16.6640625" style="549" customWidth="1"/>
    <col min="13350" max="13350" width="17.33203125" style="549" customWidth="1"/>
    <col min="13351" max="13351" width="15.5546875" style="549" customWidth="1"/>
    <col min="13352" max="13352" width="0" style="549" hidden="1"/>
    <col min="13353" max="13353" width="16.6640625" style="549" customWidth="1"/>
    <col min="13354" max="13354" width="17.44140625" style="549" customWidth="1"/>
    <col min="13355" max="13356" width="0" style="549" hidden="1"/>
    <col min="13357" max="13359" width="15.33203125" style="549" customWidth="1"/>
    <col min="13360" max="13360" width="17" style="549" customWidth="1"/>
    <col min="13361" max="13361" width="0" style="549" hidden="1"/>
    <col min="13362" max="13363" width="15.5546875" style="549" customWidth="1"/>
    <col min="13364" max="13364" width="13.6640625" style="549" customWidth="1"/>
    <col min="13365" max="13365" width="9" style="549" customWidth="1"/>
    <col min="13366" max="13366" width="49.88671875" style="549" customWidth="1"/>
    <col min="13367" max="13367" width="0" style="549" hidden="1"/>
    <col min="13368" max="13369" width="15.88671875" style="549" customWidth="1"/>
    <col min="13370" max="13370" width="14.5546875" style="549" customWidth="1"/>
    <col min="13371" max="13371" width="16.33203125" style="549" customWidth="1"/>
    <col min="13372" max="13372" width="18.109375" style="549" customWidth="1"/>
    <col min="13373" max="13373" width="14.109375" style="549" customWidth="1"/>
    <col min="13374" max="13600" width="0" style="549" hidden="1"/>
    <col min="13601" max="13601" width="7.5546875" style="549" customWidth="1"/>
    <col min="13602" max="13602" width="36.77734375" style="549" customWidth="1"/>
    <col min="13603" max="13604" width="0" style="549" hidden="1"/>
    <col min="13605" max="13605" width="16.6640625" style="549" customWidth="1"/>
    <col min="13606" max="13606" width="17.33203125" style="549" customWidth="1"/>
    <col min="13607" max="13607" width="15.5546875" style="549" customWidth="1"/>
    <col min="13608" max="13608" width="0" style="549" hidden="1"/>
    <col min="13609" max="13609" width="16.6640625" style="549" customWidth="1"/>
    <col min="13610" max="13610" width="17.44140625" style="549" customWidth="1"/>
    <col min="13611" max="13612" width="0" style="549" hidden="1"/>
    <col min="13613" max="13615" width="15.33203125" style="549" customWidth="1"/>
    <col min="13616" max="13616" width="17" style="549" customWidth="1"/>
    <col min="13617" max="13617" width="0" style="549" hidden="1"/>
    <col min="13618" max="13619" width="15.5546875" style="549" customWidth="1"/>
    <col min="13620" max="13620" width="13.6640625" style="549" customWidth="1"/>
    <col min="13621" max="13621" width="9" style="549" customWidth="1"/>
    <col min="13622" max="13622" width="49.88671875" style="549" customWidth="1"/>
    <col min="13623" max="13623" width="0" style="549" hidden="1"/>
    <col min="13624" max="13625" width="15.88671875" style="549" customWidth="1"/>
    <col min="13626" max="13626" width="14.5546875" style="549" customWidth="1"/>
    <col min="13627" max="13627" width="16.33203125" style="549" customWidth="1"/>
    <col min="13628" max="13628" width="18.109375" style="549" customWidth="1"/>
    <col min="13629" max="13629" width="14.109375" style="549" customWidth="1"/>
    <col min="13630" max="13856" width="0" style="549" hidden="1"/>
    <col min="13857" max="13857" width="7.5546875" style="549" customWidth="1"/>
    <col min="13858" max="13858" width="36.77734375" style="549" customWidth="1"/>
    <col min="13859" max="13860" width="0" style="549" hidden="1"/>
    <col min="13861" max="13861" width="16.6640625" style="549" customWidth="1"/>
    <col min="13862" max="13862" width="17.33203125" style="549" customWidth="1"/>
    <col min="13863" max="13863" width="15.5546875" style="549" customWidth="1"/>
    <col min="13864" max="13864" width="0" style="549" hidden="1"/>
    <col min="13865" max="13865" width="16.6640625" style="549" customWidth="1"/>
    <col min="13866" max="13866" width="17.44140625" style="549" customWidth="1"/>
    <col min="13867" max="13868" width="0" style="549" hidden="1"/>
    <col min="13869" max="13871" width="15.33203125" style="549" customWidth="1"/>
    <col min="13872" max="13872" width="17" style="549" customWidth="1"/>
    <col min="13873" max="13873" width="0" style="549" hidden="1"/>
    <col min="13874" max="13875" width="15.5546875" style="549" customWidth="1"/>
    <col min="13876" max="13876" width="13.6640625" style="549" customWidth="1"/>
    <col min="13877" max="13877" width="9" style="549" customWidth="1"/>
    <col min="13878" max="13878" width="49.88671875" style="549" customWidth="1"/>
    <col min="13879" max="13879" width="0" style="549" hidden="1"/>
    <col min="13880" max="13881" width="15.88671875" style="549" customWidth="1"/>
    <col min="13882" max="13882" width="14.5546875" style="549" customWidth="1"/>
    <col min="13883" max="13883" width="16.33203125" style="549" customWidth="1"/>
    <col min="13884" max="13884" width="18.109375" style="549" customWidth="1"/>
    <col min="13885" max="13885" width="14.109375" style="549" customWidth="1"/>
    <col min="13886" max="14112" width="0" style="549" hidden="1"/>
    <col min="14113" max="14113" width="7.5546875" style="549" customWidth="1"/>
    <col min="14114" max="14114" width="36.77734375" style="549" customWidth="1"/>
    <col min="14115" max="14116" width="0" style="549" hidden="1"/>
    <col min="14117" max="14117" width="16.6640625" style="549" customWidth="1"/>
    <col min="14118" max="14118" width="17.33203125" style="549" customWidth="1"/>
    <col min="14119" max="14119" width="15.5546875" style="549" customWidth="1"/>
    <col min="14120" max="14120" width="0" style="549" hidden="1"/>
    <col min="14121" max="14121" width="16.6640625" style="549" customWidth="1"/>
    <col min="14122" max="14122" width="17.44140625" style="549" customWidth="1"/>
    <col min="14123" max="14124" width="0" style="549" hidden="1"/>
    <col min="14125" max="14127" width="15.33203125" style="549" customWidth="1"/>
    <col min="14128" max="14128" width="17" style="549" customWidth="1"/>
    <col min="14129" max="14129" width="0" style="549" hidden="1"/>
    <col min="14130" max="14131" width="15.5546875" style="549" customWidth="1"/>
    <col min="14132" max="14132" width="13.6640625" style="549" customWidth="1"/>
    <col min="14133" max="14133" width="9" style="549" customWidth="1"/>
    <col min="14134" max="14134" width="49.88671875" style="549" customWidth="1"/>
    <col min="14135" max="14135" width="0" style="549" hidden="1"/>
    <col min="14136" max="14137" width="15.88671875" style="549" customWidth="1"/>
    <col min="14138" max="14138" width="14.5546875" style="549" customWidth="1"/>
    <col min="14139" max="14139" width="16.33203125" style="549" customWidth="1"/>
    <col min="14140" max="14140" width="18.109375" style="549" customWidth="1"/>
    <col min="14141" max="14141" width="14.109375" style="549" customWidth="1"/>
    <col min="14142" max="14368" width="0" style="549" hidden="1"/>
    <col min="14369" max="14369" width="7.5546875" style="549" customWidth="1"/>
    <col min="14370" max="14370" width="36.77734375" style="549" customWidth="1"/>
    <col min="14371" max="14372" width="0" style="549" hidden="1"/>
    <col min="14373" max="14373" width="16.6640625" style="549" customWidth="1"/>
    <col min="14374" max="14374" width="17.33203125" style="549" customWidth="1"/>
    <col min="14375" max="14375" width="15.5546875" style="549" customWidth="1"/>
    <col min="14376" max="14376" width="0" style="549" hidden="1"/>
    <col min="14377" max="14377" width="16.6640625" style="549" customWidth="1"/>
    <col min="14378" max="14378" width="17.44140625" style="549" customWidth="1"/>
    <col min="14379" max="14380" width="0" style="549" hidden="1"/>
    <col min="14381" max="14383" width="15.33203125" style="549" customWidth="1"/>
    <col min="14384" max="14384" width="17" style="549" customWidth="1"/>
    <col min="14385" max="14385" width="0" style="549" hidden="1"/>
    <col min="14386" max="14387" width="15.5546875" style="549" customWidth="1"/>
    <col min="14388" max="14388" width="13.6640625" style="549" customWidth="1"/>
    <col min="14389" max="14389" width="9" style="549" customWidth="1"/>
    <col min="14390" max="14390" width="49.88671875" style="549" customWidth="1"/>
    <col min="14391" max="14391" width="0" style="549" hidden="1"/>
    <col min="14392" max="14393" width="15.88671875" style="549" customWidth="1"/>
    <col min="14394" max="14394" width="14.5546875" style="549" customWidth="1"/>
    <col min="14395" max="14395" width="16.33203125" style="549" customWidth="1"/>
    <col min="14396" max="14396" width="18.109375" style="549" customWidth="1"/>
    <col min="14397" max="14397" width="14.109375" style="549" customWidth="1"/>
    <col min="14398" max="14624" width="0" style="549" hidden="1"/>
    <col min="14625" max="14625" width="7.5546875" style="549" customWidth="1"/>
    <col min="14626" max="14626" width="36.77734375" style="549" customWidth="1"/>
    <col min="14627" max="14628" width="0" style="549" hidden="1"/>
    <col min="14629" max="14629" width="16.6640625" style="549" customWidth="1"/>
    <col min="14630" max="14630" width="17.33203125" style="549" customWidth="1"/>
    <col min="14631" max="14631" width="15.5546875" style="549" customWidth="1"/>
    <col min="14632" max="14632" width="0" style="549" hidden="1"/>
    <col min="14633" max="14633" width="16.6640625" style="549" customWidth="1"/>
    <col min="14634" max="14634" width="17.44140625" style="549" customWidth="1"/>
    <col min="14635" max="14636" width="0" style="549" hidden="1"/>
    <col min="14637" max="14639" width="15.33203125" style="549" customWidth="1"/>
    <col min="14640" max="14640" width="17" style="549" customWidth="1"/>
    <col min="14641" max="14641" width="0" style="549" hidden="1"/>
    <col min="14642" max="14643" width="15.5546875" style="549" customWidth="1"/>
    <col min="14644" max="14644" width="13.6640625" style="549" customWidth="1"/>
    <col min="14645" max="14645" width="9" style="549" customWidth="1"/>
    <col min="14646" max="14646" width="49.88671875" style="549" customWidth="1"/>
    <col min="14647" max="14647" width="0" style="549" hidden="1"/>
    <col min="14648" max="14649" width="15.88671875" style="549" customWidth="1"/>
    <col min="14650" max="14650" width="14.5546875" style="549" customWidth="1"/>
    <col min="14651" max="14651" width="16.33203125" style="549" customWidth="1"/>
    <col min="14652" max="14652" width="18.109375" style="549" customWidth="1"/>
    <col min="14653" max="14653" width="14.109375" style="549" customWidth="1"/>
    <col min="14654" max="14880" width="0" style="549" hidden="1"/>
    <col min="14881" max="14881" width="7.5546875" style="549" customWidth="1"/>
    <col min="14882" max="14882" width="36.77734375" style="549" customWidth="1"/>
    <col min="14883" max="14884" width="0" style="549" hidden="1"/>
    <col min="14885" max="14885" width="16.6640625" style="549" customWidth="1"/>
    <col min="14886" max="14886" width="17.33203125" style="549" customWidth="1"/>
    <col min="14887" max="14887" width="15.5546875" style="549" customWidth="1"/>
    <col min="14888" max="14888" width="0" style="549" hidden="1"/>
    <col min="14889" max="14889" width="16.6640625" style="549" customWidth="1"/>
    <col min="14890" max="14890" width="17.44140625" style="549" customWidth="1"/>
    <col min="14891" max="14892" width="0" style="549" hidden="1"/>
    <col min="14893" max="14895" width="15.33203125" style="549" customWidth="1"/>
    <col min="14896" max="14896" width="17" style="549" customWidth="1"/>
    <col min="14897" max="14897" width="0" style="549" hidden="1"/>
    <col min="14898" max="14899" width="15.5546875" style="549" customWidth="1"/>
    <col min="14900" max="14900" width="13.6640625" style="549" customWidth="1"/>
    <col min="14901" max="14901" width="9" style="549" customWidth="1"/>
    <col min="14902" max="14902" width="49.88671875" style="549" customWidth="1"/>
    <col min="14903" max="14903" width="0" style="549" hidden="1"/>
    <col min="14904" max="14905" width="15.88671875" style="549" customWidth="1"/>
    <col min="14906" max="14906" width="14.5546875" style="549" customWidth="1"/>
    <col min="14907" max="14907" width="16.33203125" style="549" customWidth="1"/>
    <col min="14908" max="14908" width="18.109375" style="549" customWidth="1"/>
    <col min="14909" max="14909" width="14.109375" style="549" customWidth="1"/>
    <col min="14910" max="15136" width="0" style="549" hidden="1"/>
    <col min="15137" max="15137" width="7.5546875" style="549" customWidth="1"/>
    <col min="15138" max="15138" width="36.77734375" style="549" customWidth="1"/>
    <col min="15139" max="15140" width="0" style="549" hidden="1"/>
    <col min="15141" max="15141" width="16.6640625" style="549" customWidth="1"/>
    <col min="15142" max="15142" width="17.33203125" style="549" customWidth="1"/>
    <col min="15143" max="15143" width="15.5546875" style="549" customWidth="1"/>
    <col min="15144" max="15144" width="0" style="549" hidden="1"/>
    <col min="15145" max="15145" width="16.6640625" style="549" customWidth="1"/>
    <col min="15146" max="15146" width="17.44140625" style="549" customWidth="1"/>
    <col min="15147" max="15148" width="0" style="549" hidden="1"/>
    <col min="15149" max="15151" width="15.33203125" style="549" customWidth="1"/>
    <col min="15152" max="15152" width="17" style="549" customWidth="1"/>
    <col min="15153" max="15153" width="0" style="549" hidden="1"/>
    <col min="15154" max="15155" width="15.5546875" style="549" customWidth="1"/>
    <col min="15156" max="15156" width="13.6640625" style="549" customWidth="1"/>
    <col min="15157" max="15157" width="9" style="549" customWidth="1"/>
    <col min="15158" max="15158" width="49.88671875" style="549" customWidth="1"/>
    <col min="15159" max="15159" width="0" style="549" hidden="1"/>
    <col min="15160" max="15161" width="15.88671875" style="549" customWidth="1"/>
    <col min="15162" max="15162" width="14.5546875" style="549" customWidth="1"/>
    <col min="15163" max="15163" width="16.33203125" style="549" customWidth="1"/>
    <col min="15164" max="15164" width="18.109375" style="549" customWidth="1"/>
    <col min="15165" max="15165" width="14.109375" style="549" customWidth="1"/>
    <col min="15166" max="15392" width="0" style="549" hidden="1"/>
    <col min="15393" max="15393" width="7.5546875" style="549" customWidth="1"/>
    <col min="15394" max="15394" width="36.77734375" style="549" customWidth="1"/>
    <col min="15395" max="15396" width="0" style="549" hidden="1"/>
    <col min="15397" max="15397" width="16.6640625" style="549" customWidth="1"/>
    <col min="15398" max="15398" width="17.33203125" style="549" customWidth="1"/>
    <col min="15399" max="15399" width="15.5546875" style="549" customWidth="1"/>
    <col min="15400" max="15400" width="0" style="549" hidden="1"/>
    <col min="15401" max="15401" width="16.6640625" style="549" customWidth="1"/>
    <col min="15402" max="15402" width="17.44140625" style="549" customWidth="1"/>
    <col min="15403" max="15404" width="0" style="549" hidden="1"/>
    <col min="15405" max="15407" width="15.33203125" style="549" customWidth="1"/>
    <col min="15408" max="15408" width="17" style="549" customWidth="1"/>
    <col min="15409" max="15409" width="0" style="549" hidden="1"/>
    <col min="15410" max="15411" width="15.5546875" style="549" customWidth="1"/>
    <col min="15412" max="15412" width="13.6640625" style="549" customWidth="1"/>
    <col min="15413" max="15413" width="9" style="549" customWidth="1"/>
    <col min="15414" max="15414" width="49.88671875" style="549" customWidth="1"/>
    <col min="15415" max="15415" width="0" style="549" hidden="1"/>
    <col min="15416" max="15417" width="15.88671875" style="549" customWidth="1"/>
    <col min="15418" max="15418" width="14.5546875" style="549" customWidth="1"/>
    <col min="15419" max="15419" width="16.33203125" style="549" customWidth="1"/>
    <col min="15420" max="15420" width="18.109375" style="549" customWidth="1"/>
    <col min="15421" max="15421" width="14.109375" style="549" customWidth="1"/>
    <col min="15422" max="15648" width="0" style="549" hidden="1"/>
    <col min="15649" max="15649" width="7.5546875" style="549" customWidth="1"/>
    <col min="15650" max="15650" width="36.77734375" style="549" customWidth="1"/>
    <col min="15651" max="15652" width="0" style="549" hidden="1"/>
    <col min="15653" max="15653" width="16.6640625" style="549" customWidth="1"/>
    <col min="15654" max="15654" width="17.33203125" style="549" customWidth="1"/>
    <col min="15655" max="15655" width="15.5546875" style="549" customWidth="1"/>
    <col min="15656" max="15656" width="0" style="549" hidden="1"/>
    <col min="15657" max="15657" width="16.6640625" style="549" customWidth="1"/>
    <col min="15658" max="15658" width="17.44140625" style="549" customWidth="1"/>
    <col min="15659" max="15660" width="0" style="549" hidden="1"/>
    <col min="15661" max="15663" width="15.33203125" style="549" customWidth="1"/>
    <col min="15664" max="15664" width="17" style="549" customWidth="1"/>
    <col min="15665" max="15665" width="0" style="549" hidden="1"/>
    <col min="15666" max="15667" width="15.5546875" style="549" customWidth="1"/>
    <col min="15668" max="15668" width="13.6640625" style="549" customWidth="1"/>
    <col min="15669" max="15669" width="9" style="549" customWidth="1"/>
    <col min="15670" max="15670" width="49.88671875" style="549" customWidth="1"/>
    <col min="15671" max="15671" width="0" style="549" hidden="1"/>
    <col min="15672" max="15673" width="15.88671875" style="549" customWidth="1"/>
    <col min="15674" max="15674" width="14.5546875" style="549" customWidth="1"/>
    <col min="15675" max="15675" width="16.33203125" style="549" customWidth="1"/>
    <col min="15676" max="15676" width="18.109375" style="549" customWidth="1"/>
    <col min="15677" max="15677" width="14.109375" style="549" customWidth="1"/>
    <col min="15678" max="15904" width="0" style="549" hidden="1"/>
    <col min="15905" max="15905" width="7.5546875" style="549" customWidth="1"/>
    <col min="15906" max="15906" width="36.77734375" style="549" customWidth="1"/>
    <col min="15907" max="15908" width="0" style="549" hidden="1"/>
    <col min="15909" max="15909" width="16.6640625" style="549" customWidth="1"/>
    <col min="15910" max="15910" width="17.33203125" style="549" customWidth="1"/>
    <col min="15911" max="15911" width="15.5546875" style="549" customWidth="1"/>
    <col min="15912" max="15912" width="0" style="549" hidden="1"/>
    <col min="15913" max="15913" width="16.6640625" style="549" customWidth="1"/>
    <col min="15914" max="15914" width="17.44140625" style="549" customWidth="1"/>
    <col min="15915" max="15916" width="0" style="549" hidden="1"/>
    <col min="15917" max="15919" width="15.33203125" style="549" customWidth="1"/>
    <col min="15920" max="15920" width="17" style="549" customWidth="1"/>
    <col min="15921" max="15921" width="0" style="549" hidden="1"/>
    <col min="15922" max="15923" width="15.5546875" style="549" customWidth="1"/>
    <col min="15924" max="15924" width="13.6640625" style="549" customWidth="1"/>
    <col min="15925" max="15925" width="9" style="549" customWidth="1"/>
    <col min="15926" max="15926" width="49.88671875" style="549" customWidth="1"/>
    <col min="15927" max="15927" width="0" style="549" hidden="1"/>
    <col min="15928" max="15929" width="15.88671875" style="549" customWidth="1"/>
    <col min="15930" max="15930" width="14.5546875" style="549" customWidth="1"/>
    <col min="15931" max="15931" width="16.33203125" style="549" customWidth="1"/>
    <col min="15932" max="15932" width="18.109375" style="549" customWidth="1"/>
    <col min="15933" max="15933" width="14.109375" style="549" customWidth="1"/>
    <col min="15934" max="16384" width="0" style="549" hidden="1"/>
  </cols>
  <sheetData>
    <row r="1" spans="1:44" ht="24.75" customHeight="1">
      <c r="A1" s="774" t="s">
        <v>224</v>
      </c>
      <c r="B1" s="774"/>
      <c r="C1" s="774"/>
      <c r="D1" s="774"/>
      <c r="E1" s="774"/>
      <c r="F1" s="774"/>
      <c r="G1" s="774"/>
      <c r="H1" s="774"/>
      <c r="I1" s="774"/>
      <c r="J1" s="774"/>
      <c r="K1" s="774"/>
      <c r="L1" s="774"/>
      <c r="M1" s="774"/>
      <c r="N1" s="547"/>
      <c r="O1" s="548"/>
      <c r="P1" s="548"/>
      <c r="Q1" s="548"/>
      <c r="R1" s="548"/>
      <c r="S1" s="548"/>
      <c r="T1" s="548"/>
      <c r="U1" s="420"/>
      <c r="V1" s="639"/>
      <c r="W1" s="639"/>
      <c r="X1" s="420"/>
      <c r="Y1" s="420"/>
      <c r="Z1" s="639"/>
      <c r="AA1" s="546"/>
      <c r="AB1" s="546"/>
      <c r="AC1" s="547"/>
      <c r="AD1" s="420"/>
      <c r="AE1" s="639"/>
      <c r="AF1" s="639"/>
      <c r="AG1" s="420"/>
      <c r="AH1" s="420"/>
      <c r="AI1" s="546"/>
      <c r="AJ1" s="546"/>
      <c r="AK1" s="546"/>
      <c r="AL1" s="650"/>
      <c r="AM1" s="650"/>
      <c r="AN1" s="659"/>
    </row>
    <row r="2" spans="1:44" ht="24.75" customHeight="1">
      <c r="A2" s="651" t="s">
        <v>178</v>
      </c>
      <c r="B2" s="550"/>
      <c r="C2" s="550"/>
      <c r="D2" s="550"/>
      <c r="E2" s="550"/>
      <c r="F2" s="551"/>
      <c r="G2" s="552"/>
      <c r="H2" s="726"/>
      <c r="I2" s="553"/>
      <c r="J2" s="554"/>
      <c r="K2" s="555"/>
      <c r="L2" s="555"/>
      <c r="M2" s="554"/>
      <c r="N2" s="554"/>
      <c r="O2" s="556"/>
      <c r="P2" s="556"/>
      <c r="Q2" s="556"/>
      <c r="R2" s="556"/>
      <c r="S2" s="556"/>
      <c r="T2" s="556"/>
      <c r="U2" s="421"/>
      <c r="V2" s="640"/>
      <c r="W2" s="640"/>
      <c r="X2" s="421"/>
      <c r="Y2" s="421"/>
      <c r="Z2" s="640"/>
      <c r="AA2" s="651"/>
      <c r="AB2" s="550"/>
      <c r="AC2" s="554"/>
      <c r="AD2" s="421"/>
      <c r="AE2" s="640"/>
      <c r="AF2" s="640"/>
      <c r="AG2" s="421"/>
      <c r="AH2" s="421"/>
      <c r="AI2" s="550"/>
      <c r="AJ2" s="550"/>
      <c r="AK2" s="550"/>
      <c r="AL2" s="652"/>
      <c r="AM2" s="652"/>
      <c r="AN2" s="659"/>
    </row>
    <row r="3" spans="1:44" ht="26.25" customHeight="1">
      <c r="A3" s="638" t="s">
        <v>43</v>
      </c>
      <c r="B3" s="557"/>
      <c r="C3" s="558"/>
      <c r="D3" s="558"/>
      <c r="E3" s="558"/>
      <c r="F3" s="558"/>
      <c r="G3" s="559"/>
      <c r="H3" s="727"/>
      <c r="I3" s="560"/>
      <c r="J3" s="561"/>
      <c r="K3" s="562"/>
      <c r="L3" s="562"/>
      <c r="M3" s="561"/>
      <c r="N3" s="561"/>
      <c r="O3" s="560"/>
      <c r="P3" s="560"/>
      <c r="Q3" s="560"/>
      <c r="R3" s="560"/>
      <c r="S3" s="560"/>
      <c r="T3" s="560"/>
      <c r="U3" s="422"/>
      <c r="V3" s="641"/>
      <c r="W3" s="641"/>
      <c r="X3" s="422"/>
      <c r="Y3" s="422"/>
      <c r="Z3" s="641"/>
      <c r="AA3" s="653"/>
      <c r="AB3" s="653"/>
      <c r="AC3" s="561"/>
      <c r="AD3" s="422"/>
      <c r="AE3" s="641"/>
      <c r="AF3" s="641"/>
      <c r="AG3" s="422"/>
      <c r="AH3" s="422"/>
      <c r="AI3" s="654"/>
      <c r="AJ3" s="655"/>
      <c r="AK3" s="655"/>
      <c r="AL3" s="656"/>
      <c r="AM3" s="658"/>
      <c r="AN3" s="659"/>
    </row>
    <row r="4" spans="1:44" ht="26.4" customHeight="1" thickBot="1">
      <c r="A4" s="566"/>
      <c r="B4" s="566"/>
      <c r="C4" s="558"/>
      <c r="D4" s="558"/>
      <c r="E4" s="558"/>
      <c r="F4" s="558"/>
      <c r="G4" s="559"/>
      <c r="H4" s="727"/>
      <c r="I4" s="560"/>
      <c r="J4" s="561"/>
      <c r="K4" s="559"/>
      <c r="L4" s="559"/>
      <c r="M4" s="561"/>
      <c r="N4" s="561"/>
      <c r="O4" s="560"/>
      <c r="P4" s="560"/>
      <c r="Q4" s="560"/>
      <c r="R4" s="560"/>
      <c r="S4" s="560"/>
      <c r="T4" s="560"/>
      <c r="U4" s="423" t="s">
        <v>200</v>
      </c>
      <c r="V4" s="424" t="s">
        <v>201</v>
      </c>
      <c r="W4" s="660">
        <v>0.03</v>
      </c>
      <c r="X4" s="425"/>
      <c r="Y4" s="422"/>
      <c r="Z4" s="422"/>
      <c r="AA4" s="657">
        <v>0.05</v>
      </c>
      <c r="AB4" s="657">
        <v>0.1</v>
      </c>
      <c r="AC4" s="561"/>
      <c r="AD4" s="423" t="s">
        <v>200</v>
      </c>
      <c r="AE4" s="424" t="s">
        <v>201</v>
      </c>
      <c r="AF4" s="425">
        <v>0.03</v>
      </c>
      <c r="AG4" s="422"/>
      <c r="AH4" s="685">
        <v>0.25</v>
      </c>
      <c r="AI4" s="654"/>
      <c r="AJ4" s="655"/>
      <c r="AK4" s="655"/>
      <c r="AL4" s="656"/>
      <c r="AM4" s="658"/>
      <c r="AN4" s="659"/>
    </row>
    <row r="5" spans="1:44" ht="24.6" customHeight="1" thickBot="1">
      <c r="A5" s="567" t="s">
        <v>200</v>
      </c>
      <c r="B5" s="567" t="s">
        <v>200</v>
      </c>
      <c r="C5" s="567" t="s">
        <v>200</v>
      </c>
      <c r="D5" s="567" t="s">
        <v>200</v>
      </c>
      <c r="E5" s="567" t="s">
        <v>201</v>
      </c>
      <c r="F5" s="567" t="s">
        <v>200</v>
      </c>
      <c r="G5" s="567" t="s">
        <v>200</v>
      </c>
      <c r="H5" s="727"/>
      <c r="I5" s="567" t="s">
        <v>200</v>
      </c>
      <c r="J5" s="567" t="s">
        <v>200</v>
      </c>
      <c r="K5" s="568" t="s">
        <v>201</v>
      </c>
      <c r="L5" s="569">
        <v>0.03</v>
      </c>
      <c r="M5" s="561"/>
      <c r="N5" s="561"/>
      <c r="O5" s="560">
        <v>12</v>
      </c>
      <c r="P5" s="560"/>
      <c r="Q5" s="560"/>
      <c r="R5" s="560"/>
      <c r="S5" s="560"/>
      <c r="T5" s="560"/>
      <c r="U5" s="771" t="s">
        <v>137</v>
      </c>
      <c r="V5" s="772"/>
      <c r="W5" s="772"/>
      <c r="X5" s="772"/>
      <c r="Y5" s="772"/>
      <c r="Z5" s="772"/>
      <c r="AA5" s="772"/>
      <c r="AB5" s="772"/>
      <c r="AC5" s="773"/>
      <c r="AD5" s="768" t="s">
        <v>140</v>
      </c>
      <c r="AE5" s="769"/>
      <c r="AF5" s="769"/>
      <c r="AG5" s="769"/>
      <c r="AH5" s="770"/>
      <c r="AI5" s="654"/>
      <c r="AJ5" s="655"/>
      <c r="AK5" s="655"/>
      <c r="AL5" s="656"/>
      <c r="AM5" s="658"/>
      <c r="AN5" s="659"/>
    </row>
    <row r="6" spans="1:44" s="584" customFormat="1" ht="98.4" customHeight="1" thickBot="1">
      <c r="A6" s="570" t="s">
        <v>0</v>
      </c>
      <c r="B6" s="570" t="s">
        <v>39</v>
      </c>
      <c r="C6" s="571" t="s">
        <v>1</v>
      </c>
      <c r="D6" s="572" t="s">
        <v>6</v>
      </c>
      <c r="E6" s="573" t="s">
        <v>44</v>
      </c>
      <c r="F6" s="574" t="s">
        <v>193</v>
      </c>
      <c r="G6" s="575" t="s">
        <v>174</v>
      </c>
      <c r="H6" s="847" t="s">
        <v>223</v>
      </c>
      <c r="I6" s="576" t="s">
        <v>36</v>
      </c>
      <c r="J6" s="577" t="s">
        <v>195</v>
      </c>
      <c r="K6" s="644" t="s">
        <v>204</v>
      </c>
      <c r="L6" s="644" t="s">
        <v>199</v>
      </c>
      <c r="M6" s="578" t="s">
        <v>142</v>
      </c>
      <c r="N6" s="579" t="s">
        <v>206</v>
      </c>
      <c r="O6" s="835" t="s">
        <v>194</v>
      </c>
      <c r="P6" s="836" t="s">
        <v>257</v>
      </c>
      <c r="Q6" s="837" t="s">
        <v>258</v>
      </c>
      <c r="R6" s="838" t="s">
        <v>259</v>
      </c>
      <c r="S6" s="837" t="s">
        <v>260</v>
      </c>
      <c r="T6" s="839" t="s">
        <v>261</v>
      </c>
      <c r="U6" s="682" t="s">
        <v>205</v>
      </c>
      <c r="V6" s="647" t="s">
        <v>203</v>
      </c>
      <c r="W6" s="647" t="s">
        <v>202</v>
      </c>
      <c r="X6" s="682" t="s">
        <v>134</v>
      </c>
      <c r="Y6" s="683" t="s">
        <v>135</v>
      </c>
      <c r="Z6" s="683" t="s">
        <v>136</v>
      </c>
      <c r="AA6" s="580" t="s">
        <v>138</v>
      </c>
      <c r="AB6" s="580" t="s">
        <v>139</v>
      </c>
      <c r="AC6" s="418" t="s">
        <v>207</v>
      </c>
      <c r="AD6" s="684" t="s">
        <v>147</v>
      </c>
      <c r="AE6" s="647" t="s">
        <v>210</v>
      </c>
      <c r="AF6" s="647" t="s">
        <v>211</v>
      </c>
      <c r="AG6" s="682" t="s">
        <v>141</v>
      </c>
      <c r="AH6" s="419" t="s">
        <v>208</v>
      </c>
      <c r="AI6" s="581" t="s">
        <v>106</v>
      </c>
      <c r="AJ6" s="582" t="s">
        <v>38</v>
      </c>
      <c r="AK6" s="583" t="s">
        <v>42</v>
      </c>
      <c r="AL6" s="583" t="s">
        <v>7</v>
      </c>
      <c r="AM6" s="752" t="s">
        <v>256</v>
      </c>
    </row>
    <row r="7" spans="1:44" s="621" customFormat="1" ht="27" customHeight="1">
      <c r="A7" s="673">
        <v>1</v>
      </c>
      <c r="B7" s="674">
        <v>120000066590</v>
      </c>
      <c r="C7" s="677" t="s">
        <v>225</v>
      </c>
      <c r="D7" s="675" t="s">
        <v>75</v>
      </c>
      <c r="E7" s="675" t="s">
        <v>46</v>
      </c>
      <c r="F7" s="833">
        <v>45292</v>
      </c>
      <c r="G7" s="676">
        <v>36</v>
      </c>
      <c r="H7" s="834" t="s">
        <v>265</v>
      </c>
      <c r="I7" s="680">
        <v>45292</v>
      </c>
      <c r="J7" s="678">
        <v>8670</v>
      </c>
      <c r="K7" s="645" t="s">
        <v>197</v>
      </c>
      <c r="L7" s="646">
        <f>IF(Table1351452010[[#This Row],[หัก ณ ที่จ่าย
(ค่าบริการ)]]="มี",Table1351452010[[#This Row],[ค่าบริการเฉลี่ยต่อเดือน]]*3%,0)</f>
        <v>260.09999999999997</v>
      </c>
      <c r="M7" s="585">
        <f>Table1351452010[[#This Row],[ค่าบริการเฉลี่ยต่อเดือน]]-Table1351452010[[#This Row],[มูลค่าหัก 3%]]</f>
        <v>8409.9</v>
      </c>
      <c r="N7" s="586">
        <f>Table1351452010[[#This Row],[ค่าบริการเฉลียรายเดือนตาม Package
(เรียกเก็บสุทธิ)]]</f>
        <v>8409.9</v>
      </c>
      <c r="O7" s="840"/>
      <c r="P7" s="841"/>
      <c r="Q7" s="842"/>
      <c r="R7" s="843"/>
      <c r="S7" s="843"/>
      <c r="T7" s="844"/>
      <c r="U7" s="679">
        <v>70000</v>
      </c>
      <c r="V7" s="648" t="s">
        <v>197</v>
      </c>
      <c r="W7" s="649">
        <f>IF(Table1351452010[[#This Row],[หัก ณ ที่จ่าย
(ค่าติตั้ง)]]="มี",Table1351452010[[#This Row],[ค่าเชื่อมสัญญาณ/
ค่าติดตั้ง/
ค่าขายอุปกรณ์]]*$W$4,0)</f>
        <v>2100</v>
      </c>
      <c r="X7" s="397">
        <f>Table1351452010[[#This Row],[ค่าเชื่อมสัญญาณ/
ค่าติดตั้ง/
ค่าขายอุปกรณ์]]-Table1351452010[[#This Row],[มูลค่าหัก 3%
(ค่าติดตั้ง)]]</f>
        <v>67900</v>
      </c>
      <c r="Y7" s="331">
        <v>30808</v>
      </c>
      <c r="Z7" s="723">
        <f>Table1351452010[[#This Row],[ค่าเชื่อมสัญญาณ/
ค่าติดตั้ง/
ค่าขายอุปกรณ์
(เรียกเก็บสุทธิ)]]-Table1351452010[[#This Row],[ต้นทุน]]</f>
        <v>37092</v>
      </c>
      <c r="AA7" s="587" t="str">
        <f>IF(Table1351452010[[#This Row],[ส่วนต่างกำไร]]&lt;(Table1351452010[[#This Row],[ต้นทุน]]*5%),Table1351452010[[#This Row],[ค่าเชื่อมสัญญาณ/
ค่าติดตั้ง/
ค่าขายอุปกรณ์
(เรียกเก็บสุทธิ)]]*$AA$4,"0")</f>
        <v>0</v>
      </c>
      <c r="AB7" s="587">
        <f>IF(Table1351452010[[#This Row],[ส่วนต่างกำไร]]&gt;=(Table1351452010[[#This Row],[ต้นทุน]]*5%),Table1351452010[[#This Row],[ค่าเชื่อมสัญญาณ/
ค่าติดตั้ง/
ค่าขายอุปกรณ์
(เรียกเก็บสุทธิ)]]*$AB$4,"0")</f>
        <v>6790</v>
      </c>
      <c r="AC7" s="668">
        <f>SUM(Table1351452010[[#This Row],[คอมฯ
 5%]:[คอมฯ
10%]])</f>
        <v>6790</v>
      </c>
      <c r="AD7" s="681"/>
      <c r="AE7" s="648"/>
      <c r="AF7" s="672">
        <f>IF(Table1351452010[[#This Row],[หัก ณ ที่จ่าย
(ค่าเชื่อมสัญญาณ)]]="มี",Table1351452010[[#This Row],[ค่าเชื่อมสัญญาณ]]*$AF$4,0)</f>
        <v>0</v>
      </c>
      <c r="AG7" s="398">
        <f>Table1351452010[[#This Row],[ค่าเชื่อมสัญญาณ]]-Table1351452010[[#This Row],[มูลค่าหัก 3%
(ค่าเชื่อมสัญญาณ)]]</f>
        <v>0</v>
      </c>
      <c r="AH7" s="403">
        <f>Table1351452010[[#This Row],[ค่าเชื่อมสัญญาณ
(เรียกเก็บสุทธิ)]]*$AH$4</f>
        <v>0</v>
      </c>
      <c r="AI7" s="588">
        <f>Table1351452010[[#This Row],[Total
รายการเบิก
คอมขาย
(1)]]+Table1351452010[[#This Row],[Total
ค่าเชื่มสัญญาณ/ค่าติดตั้ง/
ค่าขายอุปกรณ์
(2)]]+Table1351452010[[#This Row],[Total 
คอมฯค่าเชื่อมสัญญาณ
(3)]]</f>
        <v>15199.9</v>
      </c>
      <c r="AJ7" s="589" t="s">
        <v>232</v>
      </c>
      <c r="AK7" s="589" t="s">
        <v>235</v>
      </c>
      <c r="AL7" s="590" t="s">
        <v>212</v>
      </c>
      <c r="AM7" s="549" t="s">
        <v>255</v>
      </c>
      <c r="AO7" s="755" t="s">
        <v>242</v>
      </c>
      <c r="AP7" s="366"/>
      <c r="AQ7" s="366"/>
      <c r="AR7" s="366"/>
    </row>
    <row r="8" spans="1:44" s="621" customFormat="1" ht="27" customHeight="1">
      <c r="A8" s="591">
        <v>8.1928571428571502</v>
      </c>
      <c r="B8" s="592"/>
      <c r="C8" s="593" t="s">
        <v>226</v>
      </c>
      <c r="D8" s="594"/>
      <c r="E8" s="594"/>
      <c r="F8" s="745"/>
      <c r="G8" s="622"/>
      <c r="H8" s="728"/>
      <c r="I8" s="596"/>
      <c r="J8" s="594"/>
      <c r="K8" s="597"/>
      <c r="L8" s="597"/>
      <c r="M8" s="598"/>
      <c r="N8" s="599"/>
      <c r="O8" s="600"/>
      <c r="P8" s="759"/>
      <c r="Q8" s="762"/>
      <c r="R8" s="757"/>
      <c r="S8" s="757"/>
      <c r="T8" s="753"/>
      <c r="U8" s="392"/>
      <c r="V8" s="410"/>
      <c r="W8" s="412"/>
      <c r="X8" s="390"/>
      <c r="Y8" s="393"/>
      <c r="Z8" s="724">
        <f t="shared" ref="Z8" si="0">Z7/Y7</f>
        <v>1.2039729940275252</v>
      </c>
      <c r="AA8" s="642"/>
      <c r="AB8" s="642"/>
      <c r="AC8" s="669"/>
      <c r="AD8" s="407"/>
      <c r="AE8" s="410"/>
      <c r="AF8" s="410"/>
      <c r="AG8" s="394"/>
      <c r="AH8" s="404"/>
      <c r="AI8" s="601"/>
      <c r="AJ8" s="602" t="s">
        <v>233</v>
      </c>
      <c r="AK8" s="602"/>
      <c r="AL8" s="603"/>
      <c r="AM8" s="549"/>
      <c r="AO8" s="775" t="s">
        <v>226</v>
      </c>
      <c r="AP8" s="775"/>
      <c r="AQ8" s="775"/>
      <c r="AR8" s="775"/>
    </row>
    <row r="9" spans="1:44" s="621" customFormat="1" ht="27" customHeight="1">
      <c r="A9" s="591">
        <v>9.4000000000000092</v>
      </c>
      <c r="B9" s="591"/>
      <c r="C9" s="742" t="s">
        <v>237</v>
      </c>
      <c r="D9" s="605"/>
      <c r="E9" s="605"/>
      <c r="F9" s="595"/>
      <c r="G9" s="622"/>
      <c r="H9" s="728"/>
      <c r="I9" s="596"/>
      <c r="J9" s="594"/>
      <c r="K9" s="597"/>
      <c r="L9" s="597"/>
      <c r="M9" s="594"/>
      <c r="N9" s="606"/>
      <c r="O9" s="607"/>
      <c r="P9" s="760"/>
      <c r="Q9" s="763"/>
      <c r="R9" s="758"/>
      <c r="S9" s="758"/>
      <c r="T9" s="754"/>
      <c r="U9" s="392"/>
      <c r="V9" s="410"/>
      <c r="W9" s="412"/>
      <c r="X9" s="390"/>
      <c r="Y9" s="393"/>
      <c r="Z9" s="393"/>
      <c r="AA9" s="642"/>
      <c r="AB9" s="642"/>
      <c r="AC9" s="670"/>
      <c r="AD9" s="408"/>
      <c r="AE9" s="410"/>
      <c r="AF9" s="410"/>
      <c r="AG9" s="394"/>
      <c r="AH9" s="404"/>
      <c r="AI9" s="601"/>
      <c r="AJ9" s="602"/>
      <c r="AK9" s="602"/>
      <c r="AL9" s="603"/>
      <c r="AM9" s="549"/>
      <c r="AO9" s="748"/>
      <c r="AP9" s="748"/>
      <c r="AQ9" s="749">
        <v>0.3</v>
      </c>
      <c r="AR9" s="749">
        <v>0.7</v>
      </c>
    </row>
    <row r="10" spans="1:44" s="621" customFormat="1" ht="27" customHeight="1" thickBot="1">
      <c r="A10" s="608">
        <v>10.6071428571429</v>
      </c>
      <c r="B10" s="608"/>
      <c r="C10" s="743"/>
      <c r="D10" s="610"/>
      <c r="E10" s="610"/>
      <c r="F10" s="611"/>
      <c r="G10" s="612"/>
      <c r="H10" s="729"/>
      <c r="I10" s="613"/>
      <c r="J10" s="614"/>
      <c r="K10" s="615"/>
      <c r="L10" s="615"/>
      <c r="M10" s="614"/>
      <c r="N10" s="616"/>
      <c r="O10" s="617"/>
      <c r="P10" s="761"/>
      <c r="Q10" s="764"/>
      <c r="R10" s="765"/>
      <c r="S10" s="765"/>
      <c r="T10" s="766"/>
      <c r="U10" s="395"/>
      <c r="V10" s="411"/>
      <c r="W10" s="413"/>
      <c r="X10" s="391"/>
      <c r="Y10" s="389"/>
      <c r="Z10" s="725"/>
      <c r="AA10" s="643"/>
      <c r="AB10" s="643"/>
      <c r="AC10" s="671"/>
      <c r="AD10" s="409"/>
      <c r="AE10" s="411"/>
      <c r="AF10" s="411"/>
      <c r="AG10" s="396"/>
      <c r="AH10" s="405"/>
      <c r="AI10" s="618"/>
      <c r="AJ10" s="619"/>
      <c r="AK10" s="619"/>
      <c r="AL10" s="620"/>
      <c r="AM10" s="751"/>
      <c r="AO10" s="747" t="s">
        <v>2</v>
      </c>
      <c r="AP10" s="747" t="s">
        <v>241</v>
      </c>
      <c r="AQ10" s="747" t="s">
        <v>238</v>
      </c>
      <c r="AR10" s="747" t="s">
        <v>239</v>
      </c>
    </row>
    <row r="11" spans="1:44" s="621" customFormat="1" ht="27" customHeight="1">
      <c r="A11" s="673">
        <v>2</v>
      </c>
      <c r="B11" s="674">
        <v>120000066245</v>
      </c>
      <c r="C11" s="677" t="s">
        <v>228</v>
      </c>
      <c r="D11" s="675" t="s">
        <v>75</v>
      </c>
      <c r="E11" s="675" t="s">
        <v>46</v>
      </c>
      <c r="F11" s="833">
        <v>45292</v>
      </c>
      <c r="G11" s="676">
        <v>12</v>
      </c>
      <c r="H11" s="834" t="s">
        <v>265</v>
      </c>
      <c r="I11" s="680">
        <v>45505</v>
      </c>
      <c r="J11" s="678">
        <v>13731</v>
      </c>
      <c r="K11" s="645" t="s">
        <v>197</v>
      </c>
      <c r="L11" s="646">
        <f>IF(Table1351452010[[#This Row],[หัก ณ ที่จ่าย
(ค่าบริการ)]]="มี",Table1351452010[[#This Row],[ค่าบริการเฉลี่ยต่อเดือน]]*3%,0)</f>
        <v>411.93</v>
      </c>
      <c r="M11" s="585">
        <f>Table1351452010[[#This Row],[ค่าบริการเฉลี่ยต่อเดือน]]-Table1351452010[[#This Row],[มูลค่าหัก 3%]]</f>
        <v>13319.07</v>
      </c>
      <c r="N11" s="586">
        <f>Table1351452010[[#This Row],[ค่าบริการเฉลียรายเดือนตาม Package
(เรียกเก็บสุทธิ)]]-10902</f>
        <v>2417.0699999999997</v>
      </c>
      <c r="O11" s="840"/>
      <c r="P11" s="841"/>
      <c r="Q11" s="842"/>
      <c r="R11" s="843"/>
      <c r="S11" s="843"/>
      <c r="T11" s="844"/>
      <c r="U11" s="679"/>
      <c r="V11" s="648"/>
      <c r="W11" s="649">
        <f>IF(Table1351452010[[#This Row],[หัก ณ ที่จ่าย
(ค่าติตั้ง)]]="มี",Table1351452010[[#This Row],[ค่าเชื่อมสัญญาณ/
ค่าติดตั้ง/
ค่าขายอุปกรณ์]]*$W$4,0)</f>
        <v>0</v>
      </c>
      <c r="X11" s="397">
        <f>Table1351452010[[#This Row],[ค่าเชื่อมสัญญาณ/
ค่าติดตั้ง/
ค่าขายอุปกรณ์]]-Table1351452010[[#This Row],[มูลค่าหัก 3%
(ค่าติดตั้ง)]]</f>
        <v>0</v>
      </c>
      <c r="Y11" s="331"/>
      <c r="Z11" s="723">
        <f>Table1351452010[[#This Row],[ค่าเชื่อมสัญญาณ/
ค่าติดตั้ง/
ค่าขายอุปกรณ์
(เรียกเก็บสุทธิ)]]-Table1351452010[[#This Row],[ต้นทุน]]</f>
        <v>0</v>
      </c>
      <c r="AA11" s="587" t="str">
        <f>IF(Table1351452010[[#This Row],[ส่วนต่างกำไร]]&lt;(Table1351452010[[#This Row],[ต้นทุน]]*5%),Table1351452010[[#This Row],[ค่าเชื่อมสัญญาณ/
ค่าติดตั้ง/
ค่าขายอุปกรณ์
(เรียกเก็บสุทธิ)]]*$AA$4,"0")</f>
        <v>0</v>
      </c>
      <c r="AB11" s="587">
        <f>IF(Table1351452010[[#This Row],[ส่วนต่างกำไร]]&gt;=(Table1351452010[[#This Row],[ต้นทุน]]*5%),Table1351452010[[#This Row],[ค่าเชื่อมสัญญาณ/
ค่าติดตั้ง/
ค่าขายอุปกรณ์
(เรียกเก็บสุทธิ)]]*$AB$4,"0")</f>
        <v>0</v>
      </c>
      <c r="AC11" s="668">
        <f>SUM(Table1351452010[[#This Row],[คอมฯ
 5%]:[คอมฯ
10%]])</f>
        <v>0</v>
      </c>
      <c r="AD11" s="681"/>
      <c r="AE11" s="648"/>
      <c r="AF11" s="672">
        <f>IF(Table1351452010[[#This Row],[หัก ณ ที่จ่าย
(ค่าเชื่อมสัญญาณ)]]="มี",Table1351452010[[#This Row],[ค่าเชื่อมสัญญาณ]]*$AF$4,0)</f>
        <v>0</v>
      </c>
      <c r="AG11" s="398">
        <f>Table1351452010[[#This Row],[ค่าเชื่อมสัญญาณ]]-Table1351452010[[#This Row],[มูลค่าหัก 3%
(ค่าเชื่อมสัญญาณ)]]</f>
        <v>0</v>
      </c>
      <c r="AH11" s="403">
        <f>Table1351452010[[#This Row],[ค่าเชื่อมสัญญาณ
(เรียกเก็บสุทธิ)]]*$AH$4</f>
        <v>0</v>
      </c>
      <c r="AI11" s="588">
        <f>Table1351452010[[#This Row],[Total
รายการเบิก
คอมขาย
(1)]]+Table1351452010[[#This Row],[Total
ค่าเชื่มสัญญาณ/ค่าติดตั้ง/
ค่าขายอุปกรณ์
(2)]]+Table1351452010[[#This Row],[Total 
คอมฯค่าเชื่อมสัญญาณ
(3)]]</f>
        <v>2417.0699999999997</v>
      </c>
      <c r="AJ11" s="589" t="s">
        <v>230</v>
      </c>
      <c r="AK11" s="589" t="s">
        <v>236</v>
      </c>
      <c r="AL11" s="590" t="s">
        <v>231</v>
      </c>
      <c r="AM11" s="549" t="s">
        <v>255</v>
      </c>
      <c r="AO11" s="521" t="s">
        <v>222</v>
      </c>
      <c r="AP11" s="521">
        <v>8409.9</v>
      </c>
      <c r="AQ11" s="521">
        <f>AP11*$M$5</f>
        <v>0</v>
      </c>
      <c r="AR11" s="521">
        <f>AP11*$N$5</f>
        <v>0</v>
      </c>
    </row>
    <row r="12" spans="1:44" s="621" customFormat="1" ht="27" customHeight="1">
      <c r="A12" s="591">
        <v>13.021428571428601</v>
      </c>
      <c r="B12" s="592"/>
      <c r="C12" s="593" t="s">
        <v>227</v>
      </c>
      <c r="D12" s="594"/>
      <c r="E12" s="594" t="s">
        <v>229</v>
      </c>
      <c r="F12" s="745"/>
      <c r="G12" s="622"/>
      <c r="H12" s="728"/>
      <c r="I12" s="596"/>
      <c r="J12" s="594"/>
      <c r="K12" s="597"/>
      <c r="L12" s="597"/>
      <c r="M12" s="598"/>
      <c r="N12" s="599"/>
      <c r="O12" s="600"/>
      <c r="P12" s="759"/>
      <c r="Q12" s="762"/>
      <c r="R12" s="757"/>
      <c r="S12" s="757"/>
      <c r="T12" s="753"/>
      <c r="U12" s="392"/>
      <c r="V12" s="410"/>
      <c r="W12" s="412"/>
      <c r="X12" s="390"/>
      <c r="Y12" s="393"/>
      <c r="Z12" s="724" t="e">
        <f t="shared" ref="Z12" si="1">Z11/Y11</f>
        <v>#DIV/0!</v>
      </c>
      <c r="AA12" s="642"/>
      <c r="AB12" s="642"/>
      <c r="AC12" s="669"/>
      <c r="AD12" s="407"/>
      <c r="AE12" s="410"/>
      <c r="AF12" s="410"/>
      <c r="AG12" s="394"/>
      <c r="AH12" s="404"/>
      <c r="AI12" s="601"/>
      <c r="AJ12" s="602"/>
      <c r="AK12" s="602"/>
      <c r="AL12" s="603"/>
      <c r="AM12" s="549"/>
      <c r="AO12" s="521" t="s">
        <v>240</v>
      </c>
      <c r="AP12" s="521">
        <v>6790</v>
      </c>
      <c r="AQ12" s="521">
        <f>AP12*$M$5</f>
        <v>0</v>
      </c>
      <c r="AR12" s="521">
        <f>AP12*$N$5</f>
        <v>0</v>
      </c>
    </row>
    <row r="13" spans="1:44" s="621" customFormat="1" ht="32.4" customHeight="1">
      <c r="A13" s="591">
        <v>14.228571428571501</v>
      </c>
      <c r="B13" s="591"/>
      <c r="C13" s="744" t="s">
        <v>234</v>
      </c>
      <c r="D13" s="605"/>
      <c r="E13" s="605"/>
      <c r="F13" s="595"/>
      <c r="G13" s="622"/>
      <c r="H13" s="728"/>
      <c r="I13" s="596"/>
      <c r="J13" s="594"/>
      <c r="K13" s="597"/>
      <c r="L13" s="597"/>
      <c r="M13" s="594"/>
      <c r="N13" s="606"/>
      <c r="O13" s="607"/>
      <c r="P13" s="760"/>
      <c r="Q13" s="763"/>
      <c r="R13" s="758"/>
      <c r="S13" s="758"/>
      <c r="T13" s="754"/>
      <c r="U13" s="392"/>
      <c r="V13" s="410"/>
      <c r="W13" s="412"/>
      <c r="X13" s="390"/>
      <c r="Y13" s="393"/>
      <c r="Z13" s="393"/>
      <c r="AA13" s="642"/>
      <c r="AB13" s="642"/>
      <c r="AC13" s="670"/>
      <c r="AD13" s="408"/>
      <c r="AE13" s="410"/>
      <c r="AF13" s="410"/>
      <c r="AG13" s="394"/>
      <c r="AH13" s="404"/>
      <c r="AI13" s="601"/>
      <c r="AJ13" s="602"/>
      <c r="AK13" s="602"/>
      <c r="AL13" s="603"/>
      <c r="AM13" s="549"/>
      <c r="AO13" s="756" t="s">
        <v>227</v>
      </c>
      <c r="AP13" s="358"/>
      <c r="AQ13" s="358"/>
      <c r="AR13" s="358"/>
    </row>
    <row r="14" spans="1:44" s="621" customFormat="1" ht="27" customHeight="1" thickBot="1">
      <c r="A14" s="608">
        <v>15.435714285714299</v>
      </c>
      <c r="B14" s="608"/>
      <c r="C14" s="743"/>
      <c r="D14" s="610"/>
      <c r="E14" s="610"/>
      <c r="F14" s="611"/>
      <c r="G14" s="612"/>
      <c r="H14" s="729"/>
      <c r="I14" s="613"/>
      <c r="J14" s="614"/>
      <c r="K14" s="615"/>
      <c r="L14" s="615"/>
      <c r="M14" s="614"/>
      <c r="N14" s="616"/>
      <c r="O14" s="617"/>
      <c r="P14" s="761"/>
      <c r="Q14" s="764"/>
      <c r="R14" s="765"/>
      <c r="S14" s="765"/>
      <c r="T14" s="766"/>
      <c r="U14" s="395"/>
      <c r="V14" s="411"/>
      <c r="W14" s="413"/>
      <c r="X14" s="391"/>
      <c r="Y14" s="389"/>
      <c r="Z14" s="725"/>
      <c r="AA14" s="643"/>
      <c r="AB14" s="643"/>
      <c r="AC14" s="671"/>
      <c r="AD14" s="409"/>
      <c r="AE14" s="411"/>
      <c r="AF14" s="411"/>
      <c r="AG14" s="396"/>
      <c r="AH14" s="405"/>
      <c r="AI14" s="618"/>
      <c r="AJ14" s="619"/>
      <c r="AK14" s="619"/>
      <c r="AL14" s="620"/>
      <c r="AM14" s="751"/>
      <c r="AO14" s="748"/>
      <c r="AP14" s="748"/>
      <c r="AQ14" s="749">
        <v>1</v>
      </c>
      <c r="AR14" s="358"/>
    </row>
    <row r="15" spans="1:44" s="621" customFormat="1" ht="27" customHeight="1">
      <c r="A15" s="673">
        <v>3</v>
      </c>
      <c r="B15" s="674">
        <v>120000068861</v>
      </c>
      <c r="C15" s="677" t="s">
        <v>243</v>
      </c>
      <c r="D15" s="675" t="s">
        <v>130</v>
      </c>
      <c r="E15" s="675" t="s">
        <v>45</v>
      </c>
      <c r="F15" s="833">
        <v>45536</v>
      </c>
      <c r="G15" s="676">
        <v>24</v>
      </c>
      <c r="H15" s="834" t="s">
        <v>265</v>
      </c>
      <c r="I15" s="680">
        <v>45597</v>
      </c>
      <c r="J15" s="678">
        <v>12500</v>
      </c>
      <c r="K15" s="645" t="s">
        <v>197</v>
      </c>
      <c r="L15" s="646">
        <f>IF(Table1351452010[[#This Row],[หัก ณ ที่จ่าย
(ค่าบริการ)]]="มี",Table1351452010[[#This Row],[ค่าบริการเฉลี่ยต่อเดือน]]*3%,0)</f>
        <v>375</v>
      </c>
      <c r="M15" s="585">
        <f>Table1351452010[[#This Row],[ค่าบริการเฉลี่ยต่อเดือน]]-Table1351452010[[#This Row],[มูลค่าหัก 3%]]</f>
        <v>12125</v>
      </c>
      <c r="N15" s="586">
        <f>Table1351452010[[#This Row],[ค่าบริการเฉลียรายเดือนตาม Package
(เรียกเก็บสุทธิ)]]</f>
        <v>12125</v>
      </c>
      <c r="O15" s="840"/>
      <c r="P15" s="841"/>
      <c r="Q15" s="842"/>
      <c r="R15" s="843"/>
      <c r="S15" s="843"/>
      <c r="T15" s="844"/>
      <c r="U15" s="679">
        <v>12500</v>
      </c>
      <c r="V15" s="648" t="s">
        <v>197</v>
      </c>
      <c r="W15" s="649">
        <f>IF(Table1351452010[[#This Row],[หัก ณ ที่จ่าย
(ค่าติตั้ง)]]="มี",Table1351452010[[#This Row],[ค่าเชื่อมสัญญาณ/
ค่าติดตั้ง/
ค่าขายอุปกรณ์]]*$W$4,0)</f>
        <v>375</v>
      </c>
      <c r="X15" s="397">
        <f>Table1351452010[[#This Row],[ค่าเชื่อมสัญญาณ/
ค่าติดตั้ง/
ค่าขายอุปกรณ์]]-Table1351452010[[#This Row],[มูลค่าหัก 3%
(ค่าติดตั้ง)]]</f>
        <v>12125</v>
      </c>
      <c r="Y15" s="331">
        <v>217500</v>
      </c>
      <c r="Z15" s="723">
        <f>Table1351452010[[#This Row],[ค่าเชื่อมสัญญาณ/
ค่าติดตั้ง/
ค่าขายอุปกรณ์
(เรียกเก็บสุทธิ)]]-Table1351452010[[#This Row],[ต้นทุน]]</f>
        <v>-205375</v>
      </c>
      <c r="AA15" s="587">
        <f>IF(Table1351452010[[#This Row],[ส่วนต่างกำไร]]&lt;(Table1351452010[[#This Row],[ต้นทุน]]*5%),Table1351452010[[#This Row],[ค่าเชื่อมสัญญาณ/
ค่าติดตั้ง/
ค่าขายอุปกรณ์
(เรียกเก็บสุทธิ)]]*$AA$4,"0")</f>
        <v>606.25</v>
      </c>
      <c r="AB15" s="587" t="str">
        <f>IF(Table1351452010[[#This Row],[ส่วนต่างกำไร]]&gt;=(Table1351452010[[#This Row],[ต้นทุน]]*5%),Table1351452010[[#This Row],[ค่าเชื่อมสัญญาณ/
ค่าติดตั้ง/
ค่าขายอุปกรณ์
(เรียกเก็บสุทธิ)]]*$AB$4,"0")</f>
        <v>0</v>
      </c>
      <c r="AC15" s="668">
        <f>SUM(Table1351452010[[#This Row],[คอมฯ
 5%]:[คอมฯ
10%]])</f>
        <v>606.25</v>
      </c>
      <c r="AD15" s="681"/>
      <c r="AE15" s="648"/>
      <c r="AF15" s="672">
        <f>IF(Table1351452010[[#This Row],[หัก ณ ที่จ่าย
(ค่าเชื่อมสัญญาณ)]]="มี",Table1351452010[[#This Row],[ค่าเชื่อมสัญญาณ]]*$AF$4,0)</f>
        <v>0</v>
      </c>
      <c r="AG15" s="398">
        <f>Table1351452010[[#This Row],[ค่าเชื่อมสัญญาณ]]-Table1351452010[[#This Row],[มูลค่าหัก 3%
(ค่าเชื่อมสัญญาณ)]]</f>
        <v>0</v>
      </c>
      <c r="AH15" s="403">
        <f>Table1351452010[[#This Row],[ค่าเชื่อมสัญญาณ
(เรียกเก็บสุทธิ)]]*$AH$4</f>
        <v>0</v>
      </c>
      <c r="AI15" s="588">
        <f>Table1351452010[[#This Row],[Total
รายการเบิก
คอมขาย
(1)]]+Table1351452010[[#This Row],[Total
ค่าเชื่มสัญญาณ/ค่าติดตั้ง/
ค่าขายอุปกรณ์
(2)]]+Table1351452010[[#This Row],[Total 
คอมฯค่าเชื่อมสัญญาณ
(3)]]</f>
        <v>12731.25</v>
      </c>
      <c r="AJ15" s="589" t="s">
        <v>247</v>
      </c>
      <c r="AK15" s="589" t="s">
        <v>248</v>
      </c>
      <c r="AL15" s="590" t="s">
        <v>231</v>
      </c>
      <c r="AM15" s="549" t="s">
        <v>255</v>
      </c>
      <c r="AO15" s="747" t="s">
        <v>2</v>
      </c>
      <c r="AP15" s="747" t="s">
        <v>241</v>
      </c>
      <c r="AQ15" s="747" t="s">
        <v>238</v>
      </c>
      <c r="AR15" s="358"/>
    </row>
    <row r="16" spans="1:44" s="621" customFormat="1" ht="27" customHeight="1">
      <c r="A16" s="591">
        <v>22.678571428571502</v>
      </c>
      <c r="B16" s="592"/>
      <c r="C16" s="593" t="s">
        <v>244</v>
      </c>
      <c r="D16" s="594"/>
      <c r="E16" s="594"/>
      <c r="F16" s="595"/>
      <c r="G16" s="622"/>
      <c r="H16" s="728"/>
      <c r="I16" s="596"/>
      <c r="J16" s="594"/>
      <c r="K16" s="597"/>
      <c r="L16" s="597"/>
      <c r="M16" s="598"/>
      <c r="N16" s="599"/>
      <c r="O16" s="600"/>
      <c r="P16" s="759"/>
      <c r="Q16" s="762"/>
      <c r="R16" s="757"/>
      <c r="S16" s="757"/>
      <c r="T16" s="753"/>
      <c r="U16" s="392"/>
      <c r="V16" s="410"/>
      <c r="W16" s="412"/>
      <c r="X16" s="390"/>
      <c r="Y16" s="393"/>
      <c r="Z16" s="724">
        <f t="shared" ref="Z16" si="2">Z15/Y15</f>
        <v>-0.94425287356321841</v>
      </c>
      <c r="AA16" s="642"/>
      <c r="AB16" s="642"/>
      <c r="AC16" s="669"/>
      <c r="AD16" s="407"/>
      <c r="AE16" s="410"/>
      <c r="AF16" s="410"/>
      <c r="AG16" s="394"/>
      <c r="AH16" s="404"/>
      <c r="AI16" s="601"/>
      <c r="AJ16" s="602" t="s">
        <v>249</v>
      </c>
      <c r="AK16" s="602"/>
      <c r="AL16" s="603"/>
      <c r="AM16" s="549"/>
      <c r="AO16" s="521" t="s">
        <v>222</v>
      </c>
      <c r="AP16" s="521">
        <v>2417.0700000000002</v>
      </c>
      <c r="AQ16" s="521">
        <v>2417.0700000000002</v>
      </c>
      <c r="AR16" s="358"/>
    </row>
    <row r="17" spans="1:39" s="621" customFormat="1" ht="27" customHeight="1">
      <c r="A17" s="591">
        <v>23.8857142857143</v>
      </c>
      <c r="B17" s="591"/>
      <c r="C17" s="604"/>
      <c r="D17" s="605"/>
      <c r="E17" s="605"/>
      <c r="F17" s="595"/>
      <c r="G17" s="622"/>
      <c r="H17" s="728"/>
      <c r="I17" s="596"/>
      <c r="J17" s="594"/>
      <c r="K17" s="597"/>
      <c r="L17" s="597"/>
      <c r="M17" s="594"/>
      <c r="N17" s="606"/>
      <c r="O17" s="607"/>
      <c r="P17" s="760"/>
      <c r="Q17" s="763"/>
      <c r="R17" s="758"/>
      <c r="S17" s="758"/>
      <c r="T17" s="754"/>
      <c r="U17" s="392"/>
      <c r="V17" s="410"/>
      <c r="W17" s="412"/>
      <c r="X17" s="390"/>
      <c r="Y17" s="393"/>
      <c r="Z17" s="393"/>
      <c r="AA17" s="642"/>
      <c r="AB17" s="642"/>
      <c r="AC17" s="670"/>
      <c r="AD17" s="408"/>
      <c r="AE17" s="410"/>
      <c r="AF17" s="410"/>
      <c r="AG17" s="394"/>
      <c r="AH17" s="404"/>
      <c r="AI17" s="601"/>
      <c r="AJ17" s="602"/>
      <c r="AK17" s="602"/>
      <c r="AL17" s="603"/>
      <c r="AM17" s="549"/>
    </row>
    <row r="18" spans="1:39" s="621" customFormat="1" ht="27" customHeight="1" thickBot="1">
      <c r="A18" s="608">
        <v>25.092857142857198</v>
      </c>
      <c r="B18" s="608"/>
      <c r="C18" s="609"/>
      <c r="D18" s="610"/>
      <c r="E18" s="610"/>
      <c r="F18" s="611"/>
      <c r="G18" s="612"/>
      <c r="H18" s="729"/>
      <c r="I18" s="613"/>
      <c r="J18" s="614"/>
      <c r="K18" s="615"/>
      <c r="L18" s="615"/>
      <c r="M18" s="614"/>
      <c r="N18" s="616"/>
      <c r="O18" s="617"/>
      <c r="P18" s="761"/>
      <c r="Q18" s="764"/>
      <c r="R18" s="765"/>
      <c r="S18" s="765"/>
      <c r="T18" s="766"/>
      <c r="U18" s="395"/>
      <c r="V18" s="411"/>
      <c r="W18" s="413"/>
      <c r="X18" s="391"/>
      <c r="Y18" s="389"/>
      <c r="Z18" s="725"/>
      <c r="AA18" s="643"/>
      <c r="AB18" s="643"/>
      <c r="AC18" s="671"/>
      <c r="AD18" s="409"/>
      <c r="AE18" s="411"/>
      <c r="AF18" s="411"/>
      <c r="AG18" s="396"/>
      <c r="AH18" s="405"/>
      <c r="AI18" s="618"/>
      <c r="AJ18" s="619"/>
      <c r="AK18" s="619"/>
      <c r="AL18" s="620"/>
      <c r="AM18" s="751"/>
    </row>
    <row r="19" spans="1:39" s="621" customFormat="1" ht="27" customHeight="1">
      <c r="A19" s="673">
        <v>4</v>
      </c>
      <c r="B19" s="674">
        <v>120000051070</v>
      </c>
      <c r="C19" s="677" t="s">
        <v>245</v>
      </c>
      <c r="D19" s="675" t="s">
        <v>70</v>
      </c>
      <c r="E19" s="675" t="s">
        <v>45</v>
      </c>
      <c r="F19" s="833">
        <v>45536</v>
      </c>
      <c r="G19" s="676">
        <v>24</v>
      </c>
      <c r="H19" s="834" t="s">
        <v>265</v>
      </c>
      <c r="I19" s="680">
        <v>45627</v>
      </c>
      <c r="J19" s="678">
        <v>5000</v>
      </c>
      <c r="K19" s="645" t="s">
        <v>198</v>
      </c>
      <c r="L19" s="646">
        <f>IF(Table1351452010[[#This Row],[หัก ณ ที่จ่าย
(ค่าบริการ)]]="มี",Table1351452010[[#This Row],[ค่าบริการเฉลี่ยต่อเดือน]]*3%,0)</f>
        <v>0</v>
      </c>
      <c r="M19" s="585">
        <f>Table1351452010[[#This Row],[ค่าบริการเฉลี่ยต่อเดือน]]-Table1351452010[[#This Row],[มูลค่าหัก 3%]]</f>
        <v>5000</v>
      </c>
      <c r="N19" s="586">
        <f>Table1351452010[[#This Row],[ค่าบริการเฉลียรายเดือนตาม Package
(เรียกเก็บสุทธิ)]]</f>
        <v>5000</v>
      </c>
      <c r="O19" s="840"/>
      <c r="P19" s="841"/>
      <c r="Q19" s="842"/>
      <c r="R19" s="843"/>
      <c r="S19" s="843"/>
      <c r="T19" s="844"/>
      <c r="U19" s="679"/>
      <c r="V19" s="648"/>
      <c r="W19" s="649">
        <f>IF(Table1351452010[[#This Row],[หัก ณ ที่จ่าย
(ค่าติตั้ง)]]="มี",Table1351452010[[#This Row],[ค่าเชื่อมสัญญาณ/
ค่าติดตั้ง/
ค่าขายอุปกรณ์]]*$W$4,0)</f>
        <v>0</v>
      </c>
      <c r="X19" s="397">
        <f>Table1351452010[[#This Row],[ค่าเชื่อมสัญญาณ/
ค่าติดตั้ง/
ค่าขายอุปกรณ์]]-Table1351452010[[#This Row],[มูลค่าหัก 3%
(ค่าติดตั้ง)]]</f>
        <v>0</v>
      </c>
      <c r="Y19" s="331"/>
      <c r="Z19" s="723">
        <f>Table1351452010[[#This Row],[ค่าเชื่อมสัญญาณ/
ค่าติดตั้ง/
ค่าขายอุปกรณ์
(เรียกเก็บสุทธิ)]]-Table1351452010[[#This Row],[ต้นทุน]]</f>
        <v>0</v>
      </c>
      <c r="AA19" s="587" t="str">
        <f>IF(Table1351452010[[#This Row],[ส่วนต่างกำไร]]&lt;(Table1351452010[[#This Row],[ต้นทุน]]*5%),Table1351452010[[#This Row],[ค่าเชื่อมสัญญาณ/
ค่าติดตั้ง/
ค่าขายอุปกรณ์
(เรียกเก็บสุทธิ)]]*$AA$4,"0")</f>
        <v>0</v>
      </c>
      <c r="AB19" s="587">
        <f>IF(Table1351452010[[#This Row],[ส่วนต่างกำไร]]&gt;=(Table1351452010[[#This Row],[ต้นทุน]]*5%),Table1351452010[[#This Row],[ค่าเชื่อมสัญญาณ/
ค่าติดตั้ง/
ค่าขายอุปกรณ์
(เรียกเก็บสุทธิ)]]*$AB$4,"0")</f>
        <v>0</v>
      </c>
      <c r="AC19" s="668">
        <f>SUM(Table1351452010[[#This Row],[คอมฯ
 5%]:[คอมฯ
10%]])</f>
        <v>0</v>
      </c>
      <c r="AD19" s="681"/>
      <c r="AE19" s="648"/>
      <c r="AF19" s="672">
        <f>IF(Table1351452010[[#This Row],[หัก ณ ที่จ่าย
(ค่าเชื่อมสัญญาณ)]]="มี",Table1351452010[[#This Row],[ค่าเชื่อมสัญญาณ]]*$AF$4,0)</f>
        <v>0</v>
      </c>
      <c r="AG19" s="398">
        <f>Table1351452010[[#This Row],[ค่าเชื่อมสัญญาณ]]-Table1351452010[[#This Row],[มูลค่าหัก 3%
(ค่าเชื่อมสัญญาณ)]]</f>
        <v>0</v>
      </c>
      <c r="AH19" s="403">
        <f>Table1351452010[[#This Row],[ค่าเชื่อมสัญญาณ
(เรียกเก็บสุทธิ)]]*$AH$4</f>
        <v>0</v>
      </c>
      <c r="AI19" s="588">
        <f>Table1351452010[[#This Row],[Total
รายการเบิก
คอมขาย
(1)]]+Table1351452010[[#This Row],[Total
ค่าเชื่มสัญญาณ/ค่าติดตั้ง/
ค่าขายอุปกรณ์
(2)]]+Table1351452010[[#This Row],[Total 
คอมฯค่าเชื่อมสัญญาณ
(3)]]</f>
        <v>5000</v>
      </c>
      <c r="AJ19" s="589" t="s">
        <v>250</v>
      </c>
      <c r="AK19" s="589" t="s">
        <v>251</v>
      </c>
      <c r="AL19" s="590" t="s">
        <v>252</v>
      </c>
      <c r="AM19" s="549" t="s">
        <v>255</v>
      </c>
    </row>
    <row r="20" spans="1:39" s="621" customFormat="1" ht="27" customHeight="1">
      <c r="A20" s="591">
        <v>22.678571428571502</v>
      </c>
      <c r="B20" s="592"/>
      <c r="C20" s="593" t="s">
        <v>246</v>
      </c>
      <c r="D20" s="594"/>
      <c r="E20" s="594"/>
      <c r="F20" s="595"/>
      <c r="G20" s="622"/>
      <c r="H20" s="728"/>
      <c r="I20" s="596"/>
      <c r="J20" s="594"/>
      <c r="K20" s="597"/>
      <c r="L20" s="597"/>
      <c r="M20" s="598"/>
      <c r="N20" s="599"/>
      <c r="O20" s="600"/>
      <c r="P20" s="759"/>
      <c r="Q20" s="762"/>
      <c r="R20" s="757"/>
      <c r="S20" s="757"/>
      <c r="T20" s="753"/>
      <c r="U20" s="392"/>
      <c r="V20" s="410"/>
      <c r="W20" s="412"/>
      <c r="X20" s="390"/>
      <c r="Y20" s="393"/>
      <c r="Z20" s="724" t="e">
        <f t="shared" ref="Z20" si="3">Z19/Y19</f>
        <v>#DIV/0!</v>
      </c>
      <c r="AA20" s="642"/>
      <c r="AB20" s="642"/>
      <c r="AC20" s="669"/>
      <c r="AD20" s="407"/>
      <c r="AE20" s="410"/>
      <c r="AF20" s="410"/>
      <c r="AG20" s="394"/>
      <c r="AH20" s="404"/>
      <c r="AI20" s="601"/>
      <c r="AJ20" s="602"/>
      <c r="AK20" s="602"/>
      <c r="AL20" s="603"/>
      <c r="AM20" s="549"/>
    </row>
    <row r="21" spans="1:39" s="621" customFormat="1" ht="27" customHeight="1">
      <c r="A21" s="591">
        <v>23.8857142857143</v>
      </c>
      <c r="B21" s="591"/>
      <c r="C21" s="604"/>
      <c r="D21" s="605"/>
      <c r="E21" s="605"/>
      <c r="F21" s="595"/>
      <c r="G21" s="622"/>
      <c r="H21" s="728"/>
      <c r="I21" s="596"/>
      <c r="J21" s="594"/>
      <c r="K21" s="597"/>
      <c r="L21" s="597"/>
      <c r="M21" s="594"/>
      <c r="N21" s="606"/>
      <c r="O21" s="607"/>
      <c r="P21" s="760"/>
      <c r="Q21" s="763"/>
      <c r="R21" s="758"/>
      <c r="S21" s="758"/>
      <c r="T21" s="754"/>
      <c r="U21" s="392"/>
      <c r="V21" s="410"/>
      <c r="W21" s="412"/>
      <c r="X21" s="390"/>
      <c r="Y21" s="393"/>
      <c r="Z21" s="393"/>
      <c r="AA21" s="642"/>
      <c r="AB21" s="642"/>
      <c r="AC21" s="670"/>
      <c r="AD21" s="408"/>
      <c r="AE21" s="410"/>
      <c r="AF21" s="410"/>
      <c r="AG21" s="394"/>
      <c r="AH21" s="404"/>
      <c r="AI21" s="601"/>
      <c r="AJ21" s="602"/>
      <c r="AK21" s="602"/>
      <c r="AL21" s="603"/>
      <c r="AM21" s="549"/>
    </row>
    <row r="22" spans="1:39" s="621" customFormat="1" ht="27" customHeight="1" thickBot="1">
      <c r="A22" s="608">
        <v>25.092857142857198</v>
      </c>
      <c r="B22" s="608"/>
      <c r="C22" s="609"/>
      <c r="D22" s="610"/>
      <c r="E22" s="610"/>
      <c r="F22" s="611"/>
      <c r="G22" s="612"/>
      <c r="H22" s="729"/>
      <c r="I22" s="613"/>
      <c r="J22" s="614"/>
      <c r="K22" s="615"/>
      <c r="L22" s="615"/>
      <c r="M22" s="614"/>
      <c r="N22" s="616"/>
      <c r="O22" s="617"/>
      <c r="P22" s="761"/>
      <c r="Q22" s="764"/>
      <c r="R22" s="765"/>
      <c r="S22" s="765"/>
      <c r="T22" s="766"/>
      <c r="U22" s="395"/>
      <c r="V22" s="411"/>
      <c r="W22" s="413"/>
      <c r="X22" s="391"/>
      <c r="Y22" s="389"/>
      <c r="Z22" s="725"/>
      <c r="AA22" s="643"/>
      <c r="AB22" s="643"/>
      <c r="AC22" s="671"/>
      <c r="AD22" s="409"/>
      <c r="AE22" s="411"/>
      <c r="AF22" s="411"/>
      <c r="AG22" s="396"/>
      <c r="AH22" s="405"/>
      <c r="AI22" s="618"/>
      <c r="AJ22" s="619"/>
      <c r="AK22" s="619"/>
      <c r="AL22" s="620"/>
      <c r="AM22" s="751"/>
    </row>
    <row r="23" spans="1:39" s="621" customFormat="1" ht="27" customHeight="1">
      <c r="A23" s="673">
        <v>5</v>
      </c>
      <c r="B23" s="674">
        <v>120000055425</v>
      </c>
      <c r="C23" s="677" t="s">
        <v>253</v>
      </c>
      <c r="D23" s="675" t="s">
        <v>70</v>
      </c>
      <c r="E23" s="675" t="s">
        <v>45</v>
      </c>
      <c r="F23" s="833">
        <v>45566</v>
      </c>
      <c r="G23" s="676">
        <v>12</v>
      </c>
      <c r="H23" s="834">
        <v>6.6000000000000003E-2</v>
      </c>
      <c r="I23" s="680">
        <v>45566</v>
      </c>
      <c r="J23" s="678">
        <v>1000</v>
      </c>
      <c r="K23" s="645" t="s">
        <v>198</v>
      </c>
      <c r="L23" s="646">
        <f>IF(Table1351452010[[#This Row],[หัก ณ ที่จ่าย
(ค่าบริการ)]]="มี",Table1351452010[[#This Row],[ค่าบริการเฉลี่ยต่อเดือน]]*3%,0)</f>
        <v>0</v>
      </c>
      <c r="M23" s="585">
        <f>Table1351452010[[#This Row],[ค่าบริการเฉลี่ยต่อเดือน]]-Table1351452010[[#This Row],[มูลค่าหัก 3%]]</f>
        <v>1000</v>
      </c>
      <c r="N23"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792</v>
      </c>
      <c r="O23" s="840">
        <f>Table1351452010[[#This Row],[ระยะเวลาสัญญา
(เดือน)]]/$O$5</f>
        <v>1</v>
      </c>
      <c r="P23" s="841"/>
      <c r="Q23" s="842"/>
      <c r="R23" s="843"/>
      <c r="S23" s="843"/>
      <c r="T23" s="844"/>
      <c r="U23" s="679"/>
      <c r="V23" s="648"/>
      <c r="W23" s="649">
        <f>IF(Table1351452010[[#This Row],[หัก ณ ที่จ่าย
(ค่าติตั้ง)]]="มี",Table1351452010[[#This Row],[ค่าเชื่อมสัญญาณ/
ค่าติดตั้ง/
ค่าขายอุปกรณ์]]*$W$4,0)</f>
        <v>0</v>
      </c>
      <c r="X23" s="397">
        <f>Table1351452010[[#This Row],[ค่าเชื่อมสัญญาณ/
ค่าติดตั้ง/
ค่าขายอุปกรณ์]]-Table1351452010[[#This Row],[มูลค่าหัก 3%
(ค่าติดตั้ง)]]</f>
        <v>0</v>
      </c>
      <c r="Y23" s="331"/>
      <c r="Z23" s="723">
        <f>Table1351452010[[#This Row],[ค่าเชื่อมสัญญาณ/
ค่าติดตั้ง/
ค่าขายอุปกรณ์
(เรียกเก็บสุทธิ)]]-Table1351452010[[#This Row],[ต้นทุน]]</f>
        <v>0</v>
      </c>
      <c r="AA23" s="587" t="str">
        <f>IF(Table1351452010[[#This Row],[ส่วนต่างกำไร]]&lt;(Table1351452010[[#This Row],[ต้นทุน]]*5%),Table1351452010[[#This Row],[ค่าเชื่อมสัญญาณ/
ค่าติดตั้ง/
ค่าขายอุปกรณ์
(เรียกเก็บสุทธิ)]]*$AA$4,"0")</f>
        <v>0</v>
      </c>
      <c r="AB23" s="587">
        <f>IF(Table1351452010[[#This Row],[ส่วนต่างกำไร]]&gt;=(Table1351452010[[#This Row],[ต้นทุน]]*5%),Table1351452010[[#This Row],[ค่าเชื่อมสัญญาณ/
ค่าติดตั้ง/
ค่าขายอุปกรณ์
(เรียกเก็บสุทธิ)]]*$AB$4,"0")</f>
        <v>0</v>
      </c>
      <c r="AC23" s="668">
        <f>SUM(Table1351452010[[#This Row],[คอมฯ
 5%]:[คอมฯ
10%]])</f>
        <v>0</v>
      </c>
      <c r="AD23" s="681"/>
      <c r="AE23" s="648"/>
      <c r="AF23" s="672">
        <f>IF(Table1351452010[[#This Row],[หัก ณ ที่จ่าย
(ค่าเชื่อมสัญญาณ)]]="มี",Table1351452010[[#This Row],[ค่าเชื่อมสัญญาณ]]*$AF$4,0)</f>
        <v>0</v>
      </c>
      <c r="AG23" s="398">
        <f>Table1351452010[[#This Row],[ค่าเชื่อมสัญญาณ]]-Table1351452010[[#This Row],[มูลค่าหัก 3%
(ค่าเชื่อมสัญญาณ)]]</f>
        <v>0</v>
      </c>
      <c r="AH23" s="403">
        <f>Table1351452010[[#This Row],[ค่าเชื่อมสัญญาณ
(เรียกเก็บสุทธิ)]]*$AH$4</f>
        <v>0</v>
      </c>
      <c r="AI23" s="588">
        <f>Table1351452010[[#This Row],[Total
รายการเบิก
คอมขาย
(1)]]+Table1351452010[[#This Row],[Total
ค่าเชื่มสัญญาณ/ค่าติดตั้ง/
ค่าขายอุปกรณ์
(2)]]+Table1351452010[[#This Row],[Total 
คอมฯค่าเชื่อมสัญญาณ
(3)]]</f>
        <v>792</v>
      </c>
      <c r="AJ23" s="589" t="s">
        <v>175</v>
      </c>
      <c r="AK23" s="589" t="s">
        <v>176</v>
      </c>
      <c r="AL23" s="590" t="s">
        <v>177</v>
      </c>
      <c r="AM23" s="549" t="s">
        <v>255</v>
      </c>
    </row>
    <row r="24" spans="1:39" s="621" customFormat="1" ht="27" customHeight="1">
      <c r="A24" s="591">
        <v>22.678571428571502</v>
      </c>
      <c r="B24" s="592"/>
      <c r="C24" s="593" t="s">
        <v>254</v>
      </c>
      <c r="D24" s="594"/>
      <c r="E24" s="594"/>
      <c r="F24" s="595"/>
      <c r="G24" s="622"/>
      <c r="H24" s="728"/>
      <c r="I24" s="596"/>
      <c r="J24" s="594"/>
      <c r="K24" s="597"/>
      <c r="L24" s="597"/>
      <c r="M24" s="598"/>
      <c r="N24" s="599"/>
      <c r="O24" s="600"/>
      <c r="P24" s="759"/>
      <c r="Q24" s="762"/>
      <c r="R24" s="757"/>
      <c r="S24" s="757"/>
      <c r="T24" s="753"/>
      <c r="U24" s="392"/>
      <c r="V24" s="410"/>
      <c r="W24" s="412"/>
      <c r="X24" s="390"/>
      <c r="Y24" s="393"/>
      <c r="Z24" s="724" t="e">
        <f t="shared" ref="Z24" si="4">Z23/Y23</f>
        <v>#DIV/0!</v>
      </c>
      <c r="AA24" s="642"/>
      <c r="AB24" s="642"/>
      <c r="AC24" s="669"/>
      <c r="AD24" s="407"/>
      <c r="AE24" s="410"/>
      <c r="AF24" s="410"/>
      <c r="AG24" s="394"/>
      <c r="AH24" s="404"/>
      <c r="AI24" s="601"/>
      <c r="AJ24" s="602"/>
      <c r="AK24" s="602"/>
      <c r="AL24" s="603"/>
      <c r="AM24" s="549"/>
    </row>
    <row r="25" spans="1:39" s="621" customFormat="1" ht="27" customHeight="1">
      <c r="A25" s="591">
        <v>23.8857142857143</v>
      </c>
      <c r="B25" s="591"/>
      <c r="C25" s="604"/>
      <c r="D25" s="605"/>
      <c r="E25" s="605"/>
      <c r="F25" s="595"/>
      <c r="G25" s="622"/>
      <c r="H25" s="728"/>
      <c r="I25" s="596"/>
      <c r="J25" s="594"/>
      <c r="K25" s="597"/>
      <c r="L25" s="597"/>
      <c r="M25" s="594"/>
      <c r="N25" s="606"/>
      <c r="O25" s="607"/>
      <c r="P25" s="760"/>
      <c r="Q25" s="763"/>
      <c r="R25" s="758"/>
      <c r="S25" s="758"/>
      <c r="T25" s="754"/>
      <c r="U25" s="392"/>
      <c r="V25" s="410"/>
      <c r="W25" s="412"/>
      <c r="X25" s="390"/>
      <c r="Y25" s="393"/>
      <c r="Z25" s="393"/>
      <c r="AA25" s="642"/>
      <c r="AB25" s="642"/>
      <c r="AC25" s="670"/>
      <c r="AD25" s="408"/>
      <c r="AE25" s="410"/>
      <c r="AF25" s="410"/>
      <c r="AG25" s="394"/>
      <c r="AH25" s="404"/>
      <c r="AI25" s="601"/>
      <c r="AJ25" s="602"/>
      <c r="AK25" s="602"/>
      <c r="AL25" s="603"/>
      <c r="AM25" s="549"/>
    </row>
    <row r="26" spans="1:39" s="621" customFormat="1" ht="27" customHeight="1" thickBot="1">
      <c r="A26" s="608">
        <v>25.092857142857198</v>
      </c>
      <c r="B26" s="608"/>
      <c r="C26" s="609"/>
      <c r="D26" s="610"/>
      <c r="E26" s="610"/>
      <c r="F26" s="611"/>
      <c r="G26" s="612"/>
      <c r="H26" s="729"/>
      <c r="I26" s="613"/>
      <c r="J26" s="614"/>
      <c r="K26" s="615"/>
      <c r="L26" s="615"/>
      <c r="M26" s="614"/>
      <c r="N26" s="616"/>
      <c r="O26" s="617"/>
      <c r="P26" s="761"/>
      <c r="Q26" s="764"/>
      <c r="R26" s="765"/>
      <c r="S26" s="765"/>
      <c r="T26" s="766"/>
      <c r="U26" s="395"/>
      <c r="V26" s="411"/>
      <c r="W26" s="413"/>
      <c r="X26" s="391"/>
      <c r="Y26" s="389"/>
      <c r="Z26" s="725"/>
      <c r="AA26" s="643"/>
      <c r="AB26" s="643"/>
      <c r="AC26" s="671"/>
      <c r="AD26" s="409"/>
      <c r="AE26" s="411"/>
      <c r="AF26" s="411"/>
      <c r="AG26" s="396"/>
      <c r="AH26" s="405"/>
      <c r="AI26" s="618"/>
      <c r="AJ26" s="619"/>
      <c r="AK26" s="619"/>
      <c r="AL26" s="620"/>
      <c r="AM26" s="751"/>
    </row>
    <row r="27" spans="1:39" s="621" customFormat="1" ht="27" customHeight="1">
      <c r="A27" s="673">
        <v>6</v>
      </c>
      <c r="B27" s="674">
        <v>120000055767</v>
      </c>
      <c r="C27" s="677" t="s">
        <v>179</v>
      </c>
      <c r="D27" s="675" t="s">
        <v>67</v>
      </c>
      <c r="E27" s="675" t="s">
        <v>45</v>
      </c>
      <c r="F27" s="833">
        <v>45566</v>
      </c>
      <c r="G27" s="676">
        <v>24</v>
      </c>
      <c r="H27" s="834">
        <v>6.6000000000000003E-2</v>
      </c>
      <c r="I27" s="680">
        <v>45597</v>
      </c>
      <c r="J27" s="678">
        <v>2000</v>
      </c>
      <c r="K27" s="645" t="s">
        <v>198</v>
      </c>
      <c r="L27" s="646">
        <f>IF(Table1351452010[[#This Row],[หัก ณ ที่จ่าย
(ค่าบริการ)]]="มี",Table1351452010[[#This Row],[ค่าบริการเฉลี่ยต่อเดือน]]*3%,0)</f>
        <v>0</v>
      </c>
      <c r="M27" s="585">
        <f>Table1351452010[[#This Row],[ค่าบริการเฉลี่ยต่อเดือน]]-Table1351452010[[#This Row],[มูลค่าหัก 3%]]</f>
        <v>2000</v>
      </c>
      <c r="N27"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3168</v>
      </c>
      <c r="O27" s="840">
        <f>Table1351452010[[#This Row],[ระยะเวลาสัญญา
(เดือน)]]/$O$5</f>
        <v>2</v>
      </c>
      <c r="P27" s="845">
        <f>Table1351452010[[#This Row],[Total
รายการเบิก
คอมขาย
(1)]]/Table1351452010[[#This Row],[แบ่งจ่าย/งวด
(ตามปีสัญญา)]]</f>
        <v>1584</v>
      </c>
      <c r="Q27" s="846">
        <f>Table1351452010[[#This Row],[Total
รายการเบิก
คอมขาย
(1)]]/Table1351452010[[#This Row],[แบ่งจ่าย/งวด
(ตามปีสัญญา)]]</f>
        <v>1584</v>
      </c>
      <c r="R27" s="843"/>
      <c r="S27" s="843"/>
      <c r="T27" s="844"/>
      <c r="U27" s="735"/>
      <c r="V27" s="736"/>
      <c r="W27" s="737">
        <f>IF(Table1351452010[[#This Row],[หัก ณ ที่จ่าย
(ค่าติตั้ง)]]="มี",Table1351452010[[#This Row],[ค่าเชื่อมสัญญาณ/
ค่าติดตั้ง/
ค่าขายอุปกรณ์]]*$W$4,0)</f>
        <v>0</v>
      </c>
      <c r="X27" s="738">
        <f>Table1351452010[[#This Row],[ค่าเชื่อมสัญญาณ/
ค่าติดตั้ง/
ค่าขายอุปกรณ์]]-Table1351452010[[#This Row],[มูลค่าหัก 3%
(ค่าติดตั้ง)]]</f>
        <v>0</v>
      </c>
      <c r="Y27" s="739"/>
      <c r="Z27" s="723">
        <f>Table1351452010[[#This Row],[ค่าเชื่อมสัญญาณ/
ค่าติดตั้ง/
ค่าขายอุปกรณ์
(เรียกเก็บสุทธิ)]]-Table1351452010[[#This Row],[ต้นทุน]]</f>
        <v>0</v>
      </c>
      <c r="AA27" s="740" t="str">
        <f>IF(Table1351452010[[#This Row],[ส่วนต่างกำไร]]&lt;(Table1351452010[[#This Row],[ต้นทุน]]*5%),Table1351452010[[#This Row],[ค่าเชื่อมสัญญาณ/
ค่าติดตั้ง/
ค่าขายอุปกรณ์
(เรียกเก็บสุทธิ)]]*$AA$4,"0")</f>
        <v>0</v>
      </c>
      <c r="AB27" s="740">
        <f>IF(Table1351452010[[#This Row],[ส่วนต่างกำไร]]&gt;=(Table1351452010[[#This Row],[ต้นทุน]]*5%),Table1351452010[[#This Row],[ค่าเชื่อมสัญญาณ/
ค่าติดตั้ง/
ค่าขายอุปกรณ์
(เรียกเก็บสุทธิ)]]*$AB$4,"0")</f>
        <v>0</v>
      </c>
      <c r="AC27" s="668">
        <f>SUM(Table1351452010[[#This Row],[คอมฯ
 5%]:[คอมฯ
10%]])</f>
        <v>0</v>
      </c>
      <c r="AD27" s="681"/>
      <c r="AE27" s="648"/>
      <c r="AF27" s="672">
        <f>IF(Table1351452010[[#This Row],[หัก ณ ที่จ่าย
(ค่าเชื่อมสัญญาณ)]]="มี",Table1351452010[[#This Row],[ค่าเชื่อมสัญญาณ]]*$AF$4,0)</f>
        <v>0</v>
      </c>
      <c r="AG27" s="398">
        <f>Table1351452010[[#This Row],[ค่าเชื่อมสัญญาณ]]-Table1351452010[[#This Row],[มูลค่าหัก 3%
(ค่าเชื่อมสัญญาณ)]]</f>
        <v>0</v>
      </c>
      <c r="AH27" s="403">
        <f>Table1351452010[[#This Row],[ค่าเชื่อมสัญญาณ
(เรียกเก็บสุทธิ)]]*$AH$4</f>
        <v>0</v>
      </c>
      <c r="AI27" s="588">
        <f>Table1351452010[[#This Row],[ปีที่1]]</f>
        <v>1584</v>
      </c>
      <c r="AJ27" s="589" t="s">
        <v>213</v>
      </c>
      <c r="AK27" s="589" t="s">
        <v>214</v>
      </c>
      <c r="AL27" s="590" t="s">
        <v>177</v>
      </c>
      <c r="AM27" s="549" t="s">
        <v>255</v>
      </c>
    </row>
    <row r="28" spans="1:39" s="621" customFormat="1" ht="27" customHeight="1">
      <c r="A28" s="591">
        <v>22.678571428571502</v>
      </c>
      <c r="B28" s="592"/>
      <c r="C28" s="593" t="s">
        <v>180</v>
      </c>
      <c r="D28" s="594"/>
      <c r="E28" s="594"/>
      <c r="F28" s="595"/>
      <c r="G28" s="622"/>
      <c r="H28" s="728"/>
      <c r="I28" s="596"/>
      <c r="J28" s="594"/>
      <c r="K28" s="597"/>
      <c r="L28" s="597"/>
      <c r="M28" s="598"/>
      <c r="N28" s="599"/>
      <c r="O28" s="600"/>
      <c r="P28" s="759" t="s">
        <v>262</v>
      </c>
      <c r="Q28" s="757" t="s">
        <v>263</v>
      </c>
      <c r="R28" s="757"/>
      <c r="S28" s="757"/>
      <c r="T28" s="753"/>
      <c r="U28" s="392"/>
      <c r="V28" s="410"/>
      <c r="W28" s="412"/>
      <c r="X28" s="390"/>
      <c r="Y28" s="393"/>
      <c r="Z28" s="724" t="e">
        <f t="shared" ref="Z28" si="5">Z27/Y27</f>
        <v>#DIV/0!</v>
      </c>
      <c r="AA28" s="642"/>
      <c r="AB28" s="642"/>
      <c r="AC28" s="669"/>
      <c r="AD28" s="407"/>
      <c r="AE28" s="410"/>
      <c r="AF28" s="410"/>
      <c r="AG28" s="394"/>
      <c r="AH28" s="404"/>
      <c r="AI28" s="601"/>
      <c r="AJ28" s="602"/>
      <c r="AK28" s="602"/>
      <c r="AL28" s="603"/>
      <c r="AM28" s="549"/>
    </row>
    <row r="29" spans="1:39" s="621" customFormat="1" ht="27" customHeight="1">
      <c r="A29" s="591">
        <v>23.8857142857143</v>
      </c>
      <c r="B29" s="591"/>
      <c r="C29" s="734"/>
      <c r="D29" s="605"/>
      <c r="E29" s="605"/>
      <c r="F29" s="595"/>
      <c r="G29" s="622"/>
      <c r="H29" s="728"/>
      <c r="I29" s="596"/>
      <c r="J29" s="594"/>
      <c r="K29" s="597"/>
      <c r="L29" s="597"/>
      <c r="M29" s="594"/>
      <c r="N29" s="606"/>
      <c r="O29" s="607"/>
      <c r="P29" s="760"/>
      <c r="Q29" s="758"/>
      <c r="R29" s="758"/>
      <c r="S29" s="758"/>
      <c r="T29" s="754"/>
      <c r="U29" s="392"/>
      <c r="V29" s="410"/>
      <c r="W29" s="412"/>
      <c r="X29" s="390"/>
      <c r="Y29" s="393"/>
      <c r="Z29" s="415"/>
      <c r="AA29" s="642"/>
      <c r="AB29" s="642"/>
      <c r="AC29" s="670"/>
      <c r="AD29" s="408"/>
      <c r="AE29" s="410"/>
      <c r="AF29" s="410"/>
      <c r="AG29" s="394"/>
      <c r="AH29" s="404"/>
      <c r="AI29" s="601"/>
      <c r="AJ29" s="602"/>
      <c r="AK29" s="602"/>
      <c r="AL29" s="603"/>
      <c r="AM29" s="549"/>
    </row>
    <row r="30" spans="1:39" s="621" customFormat="1" ht="27" customHeight="1" thickBot="1">
      <c r="A30" s="608">
        <v>25.092857142857198</v>
      </c>
      <c r="B30" s="608"/>
      <c r="C30" s="609"/>
      <c r="D30" s="610"/>
      <c r="E30" s="610"/>
      <c r="F30" s="611"/>
      <c r="G30" s="612"/>
      <c r="H30" s="729"/>
      <c r="I30" s="613"/>
      <c r="J30" s="614"/>
      <c r="K30" s="615"/>
      <c r="L30" s="615"/>
      <c r="M30" s="614"/>
      <c r="N30" s="616"/>
      <c r="O30" s="617"/>
      <c r="P30" s="761"/>
      <c r="Q30" s="765"/>
      <c r="R30" s="765"/>
      <c r="S30" s="765"/>
      <c r="T30" s="766"/>
      <c r="U30" s="395"/>
      <c r="V30" s="411"/>
      <c r="W30" s="413"/>
      <c r="X30" s="391"/>
      <c r="Y30" s="389"/>
      <c r="Z30" s="416"/>
      <c r="AA30" s="643"/>
      <c r="AB30" s="643"/>
      <c r="AC30" s="671"/>
      <c r="AD30" s="409"/>
      <c r="AE30" s="411"/>
      <c r="AF30" s="411"/>
      <c r="AG30" s="396"/>
      <c r="AH30" s="405"/>
      <c r="AI30" s="618"/>
      <c r="AJ30" s="619"/>
      <c r="AK30" s="619"/>
      <c r="AL30" s="620"/>
      <c r="AM30" s="751"/>
    </row>
    <row r="31" spans="1:39" s="621" customFormat="1" ht="27" customHeight="1">
      <c r="A31" s="673">
        <v>7</v>
      </c>
      <c r="B31" s="674">
        <v>120000059654</v>
      </c>
      <c r="C31" s="677" t="s">
        <v>181</v>
      </c>
      <c r="D31" s="675" t="s">
        <v>70</v>
      </c>
      <c r="E31" s="675" t="s">
        <v>45</v>
      </c>
      <c r="F31" s="833">
        <v>45566</v>
      </c>
      <c r="G31" s="676">
        <v>12</v>
      </c>
      <c r="H31" s="834">
        <v>6.6000000000000003E-2</v>
      </c>
      <c r="I31" s="680">
        <v>45597</v>
      </c>
      <c r="J31" s="678">
        <v>1500</v>
      </c>
      <c r="K31" s="645" t="s">
        <v>197</v>
      </c>
      <c r="L31" s="646">
        <f>IF(Table1351452010[[#This Row],[หัก ณ ที่จ่าย
(ค่าบริการ)]]="มี",Table1351452010[[#This Row],[ค่าบริการเฉลี่ยต่อเดือน]]*3%,0)</f>
        <v>45</v>
      </c>
      <c r="M31" s="585">
        <f>Table1351452010[[#This Row],[ค่าบริการเฉลี่ยต่อเดือน]]-Table1351452010[[#This Row],[มูลค่าหัก 3%]]</f>
        <v>1455</v>
      </c>
      <c r="N31"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1152.3600000000001</v>
      </c>
      <c r="O31" s="840">
        <f>Table1351452010[[#This Row],[ระยะเวลาสัญญา
(เดือน)]]/$O$5</f>
        <v>1</v>
      </c>
      <c r="P31" s="841"/>
      <c r="Q31" s="842"/>
      <c r="R31" s="843"/>
      <c r="S31" s="843"/>
      <c r="T31" s="844"/>
      <c r="U31" s="679"/>
      <c r="V31" s="648"/>
      <c r="W31" s="649">
        <f>IF(Table1351452010[[#This Row],[หัก ณ ที่จ่าย
(ค่าติตั้ง)]]="มี",Table1351452010[[#This Row],[ค่าเชื่อมสัญญาณ/
ค่าติดตั้ง/
ค่าขายอุปกรณ์]]*$W$4,0)</f>
        <v>0</v>
      </c>
      <c r="X31" s="738">
        <f>Table1351452010[[#This Row],[ค่าเชื่อมสัญญาณ/
ค่าติดตั้ง/
ค่าขายอุปกรณ์]]-Table1351452010[[#This Row],[มูลค่าหัก 3%
(ค่าติดตั้ง)]]</f>
        <v>0</v>
      </c>
      <c r="Y31" s="739"/>
      <c r="Z31" s="723">
        <f>Table1351452010[[#This Row],[ค่าเชื่อมสัญญาณ/
ค่าติดตั้ง/
ค่าขายอุปกรณ์
(เรียกเก็บสุทธิ)]]-Table1351452010[[#This Row],[ต้นทุน]]</f>
        <v>0</v>
      </c>
      <c r="AA31" s="587" t="str">
        <f>IF(Table1351452010[[#This Row],[ส่วนต่างกำไร]]&lt;(Table1351452010[[#This Row],[ต้นทุน]]*5%),Table1351452010[[#This Row],[ค่าเชื่อมสัญญาณ/
ค่าติดตั้ง/
ค่าขายอุปกรณ์
(เรียกเก็บสุทธิ)]]*$AA$4,"0")</f>
        <v>0</v>
      </c>
      <c r="AB31" s="587">
        <f>IF(Table1351452010[[#This Row],[ส่วนต่างกำไร]]&gt;=(Table1351452010[[#This Row],[ต้นทุน]]*5%),Table1351452010[[#This Row],[ค่าเชื่อมสัญญาณ/
ค่าติดตั้ง/
ค่าขายอุปกรณ์
(เรียกเก็บสุทธิ)]]*$AB$4,"0")</f>
        <v>0</v>
      </c>
      <c r="AC31" s="668">
        <f>SUM(Table1351452010[[#This Row],[คอมฯ
 5%]:[คอมฯ
10%]])</f>
        <v>0</v>
      </c>
      <c r="AD31" s="681"/>
      <c r="AE31" s="648"/>
      <c r="AF31" s="672">
        <f>IF(Table1351452010[[#This Row],[หัก ณ ที่จ่าย
(ค่าเชื่อมสัญญาณ)]]="มี",Table1351452010[[#This Row],[ค่าเชื่อมสัญญาณ]]*$AF$4,0)</f>
        <v>0</v>
      </c>
      <c r="AG31" s="398">
        <f>Table1351452010[[#This Row],[ค่าเชื่อมสัญญาณ]]-Table1351452010[[#This Row],[มูลค่าหัก 3%
(ค่าเชื่อมสัญญาณ)]]</f>
        <v>0</v>
      </c>
      <c r="AH31" s="403">
        <f>Table1351452010[[#This Row],[ค่าเชื่อมสัญญาณ
(เรียกเก็บสุทธิ)]]*$AH$4</f>
        <v>0</v>
      </c>
      <c r="AI31" s="588">
        <f>Table1351452010[[#This Row],[Total
รายการเบิก
คอมขาย
(1)]]+Table1351452010[[#This Row],[Total
ค่าเชื่มสัญญาณ/ค่าติดตั้ง/
ค่าขายอุปกรณ์
(2)]]+Table1351452010[[#This Row],[Total 
คอมฯค่าเชื่อมสัญญาณ
(3)]]</f>
        <v>1152.3600000000001</v>
      </c>
      <c r="AJ31" s="589" t="s">
        <v>266</v>
      </c>
      <c r="AK31" s="589" t="s">
        <v>215</v>
      </c>
      <c r="AL31" s="590" t="s">
        <v>212</v>
      </c>
      <c r="AM31" s="549" t="s">
        <v>255</v>
      </c>
    </row>
    <row r="32" spans="1:39" s="621" customFormat="1" ht="27" customHeight="1">
      <c r="A32" s="591">
        <v>22.678571428571502</v>
      </c>
      <c r="B32" s="592"/>
      <c r="C32" s="593" t="s">
        <v>182</v>
      </c>
      <c r="D32" s="594"/>
      <c r="E32" s="594"/>
      <c r="F32" s="595"/>
      <c r="G32" s="622"/>
      <c r="H32" s="728"/>
      <c r="I32" s="596"/>
      <c r="J32" s="594"/>
      <c r="K32" s="597"/>
      <c r="L32" s="597"/>
      <c r="M32" s="598"/>
      <c r="N32" s="599"/>
      <c r="O32" s="600"/>
      <c r="P32" s="759"/>
      <c r="Q32" s="762"/>
      <c r="R32" s="757"/>
      <c r="S32" s="757"/>
      <c r="T32" s="753"/>
      <c r="U32" s="392"/>
      <c r="V32" s="410"/>
      <c r="W32" s="412"/>
      <c r="X32" s="390"/>
      <c r="Y32" s="393"/>
      <c r="Z32" s="724" t="e">
        <f t="shared" ref="Z32" si="6">Z31/Y31</f>
        <v>#DIV/0!</v>
      </c>
      <c r="AA32" s="642"/>
      <c r="AB32" s="642"/>
      <c r="AC32" s="669"/>
      <c r="AD32" s="407"/>
      <c r="AE32" s="410"/>
      <c r="AF32" s="410"/>
      <c r="AG32" s="394"/>
      <c r="AH32" s="404"/>
      <c r="AI32" s="601"/>
      <c r="AJ32" s="602"/>
      <c r="AK32" s="602"/>
      <c r="AL32" s="603"/>
      <c r="AM32" s="549"/>
    </row>
    <row r="33" spans="1:39" s="621" customFormat="1" ht="27" customHeight="1">
      <c r="A33" s="591">
        <v>23.8857142857143</v>
      </c>
      <c r="B33" s="591"/>
      <c r="C33" s="604"/>
      <c r="D33" s="605"/>
      <c r="E33" s="605"/>
      <c r="F33" s="595"/>
      <c r="G33" s="622"/>
      <c r="H33" s="728"/>
      <c r="I33" s="596"/>
      <c r="J33" s="594"/>
      <c r="K33" s="597"/>
      <c r="L33" s="597"/>
      <c r="M33" s="594"/>
      <c r="N33" s="606"/>
      <c r="O33" s="607"/>
      <c r="P33" s="760"/>
      <c r="Q33" s="763"/>
      <c r="R33" s="758"/>
      <c r="S33" s="758"/>
      <c r="T33" s="754"/>
      <c r="U33" s="392"/>
      <c r="V33" s="410"/>
      <c r="W33" s="412"/>
      <c r="X33" s="390"/>
      <c r="Y33" s="393"/>
      <c r="Z33" s="393"/>
      <c r="AA33" s="642"/>
      <c r="AB33" s="642"/>
      <c r="AC33" s="670"/>
      <c r="AD33" s="408"/>
      <c r="AE33" s="410"/>
      <c r="AF33" s="410"/>
      <c r="AG33" s="394"/>
      <c r="AH33" s="404"/>
      <c r="AI33" s="601"/>
      <c r="AJ33" s="602"/>
      <c r="AK33" s="602"/>
      <c r="AL33" s="603"/>
      <c r="AM33" s="549"/>
    </row>
    <row r="34" spans="1:39" s="621" customFormat="1" ht="27" customHeight="1" thickBot="1">
      <c r="A34" s="608">
        <v>25.092857142857198</v>
      </c>
      <c r="B34" s="608"/>
      <c r="C34" s="609"/>
      <c r="D34" s="610"/>
      <c r="E34" s="610"/>
      <c r="F34" s="611"/>
      <c r="G34" s="612"/>
      <c r="H34" s="729"/>
      <c r="I34" s="613"/>
      <c r="J34" s="614"/>
      <c r="K34" s="615"/>
      <c r="L34" s="615"/>
      <c r="M34" s="614"/>
      <c r="N34" s="616"/>
      <c r="O34" s="617"/>
      <c r="P34" s="761"/>
      <c r="Q34" s="764"/>
      <c r="R34" s="765"/>
      <c r="S34" s="765"/>
      <c r="T34" s="766"/>
      <c r="U34" s="395"/>
      <c r="V34" s="411"/>
      <c r="W34" s="413"/>
      <c r="X34" s="741"/>
      <c r="Y34" s="725"/>
      <c r="Z34" s="725"/>
      <c r="AA34" s="643"/>
      <c r="AB34" s="643"/>
      <c r="AC34" s="671"/>
      <c r="AD34" s="409"/>
      <c r="AE34" s="411"/>
      <c r="AF34" s="411"/>
      <c r="AG34" s="396"/>
      <c r="AH34" s="405"/>
      <c r="AI34" s="618"/>
      <c r="AJ34" s="619"/>
      <c r="AK34" s="619"/>
      <c r="AL34" s="620"/>
      <c r="AM34" s="751"/>
    </row>
    <row r="35" spans="1:39" s="621" customFormat="1" ht="27" hidden="1" customHeight="1">
      <c r="A35" s="673">
        <v>8</v>
      </c>
      <c r="B35" s="674"/>
      <c r="C35" s="677"/>
      <c r="D35" s="675"/>
      <c r="E35" s="675"/>
      <c r="F35" s="833"/>
      <c r="G35" s="676"/>
      <c r="H35" s="834"/>
      <c r="I35" s="680"/>
      <c r="J35" s="678"/>
      <c r="K35" s="645"/>
      <c r="L35" s="646">
        <f>IF(Table1351452010[[#This Row],[หัก ณ ที่จ่าย
(ค่าบริการ)]]="มี",Table1351452010[[#This Row],[ค่าบริการเฉลี่ยต่อเดือน]]*3%,0)</f>
        <v>0</v>
      </c>
      <c r="M35" s="585">
        <f>Table1351452010[[#This Row],[ค่าบริการเฉลี่ยต่อเดือน]]-Table1351452010[[#This Row],[มูลค่าหัก 3%]]</f>
        <v>0</v>
      </c>
      <c r="N35"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35" s="840">
        <f>Table1351452010[[#This Row],[ระยะเวลาสัญญา
(เดือน)]]/$O$5</f>
        <v>0</v>
      </c>
      <c r="P35" s="841"/>
      <c r="Q35" s="842"/>
      <c r="R35" s="843"/>
      <c r="S35" s="843"/>
      <c r="T35" s="844"/>
      <c r="U35" s="679"/>
      <c r="V35" s="648"/>
      <c r="W35" s="649">
        <f>IF(Table1351452010[[#This Row],[หัก ณ ที่จ่าย
(ค่าติตั้ง)]]="มี",Table1351452010[[#This Row],[ค่าเชื่อมสัญญาณ/
ค่าติดตั้ง/
ค่าขายอุปกรณ์]]*$W$4,0)</f>
        <v>0</v>
      </c>
      <c r="X35" s="738">
        <f>Table1351452010[[#This Row],[ค่าเชื่อมสัญญาณ/
ค่าติดตั้ง/
ค่าขายอุปกรณ์]]-Table1351452010[[#This Row],[มูลค่าหัก 3%
(ค่าติดตั้ง)]]</f>
        <v>0</v>
      </c>
      <c r="Y35" s="739"/>
      <c r="Z35" s="723">
        <f>Table1351452010[[#This Row],[ค่าเชื่อมสัญญาณ/
ค่าติดตั้ง/
ค่าขายอุปกรณ์
(เรียกเก็บสุทธิ)]]-Table1351452010[[#This Row],[ต้นทุน]]</f>
        <v>0</v>
      </c>
      <c r="AA35" s="587" t="str">
        <f>IF(Table1351452010[[#This Row],[ส่วนต่างกำไร]]&lt;(Table1351452010[[#This Row],[ต้นทุน]]*5%),Table1351452010[[#This Row],[ค่าเชื่อมสัญญาณ/
ค่าติดตั้ง/
ค่าขายอุปกรณ์
(เรียกเก็บสุทธิ)]]*$AA$4,"0")</f>
        <v>0</v>
      </c>
      <c r="AB35" s="587">
        <f>IF(Table1351452010[[#This Row],[ส่วนต่างกำไร]]&gt;=(Table1351452010[[#This Row],[ต้นทุน]]*5%),Table1351452010[[#This Row],[ค่าเชื่อมสัญญาณ/
ค่าติดตั้ง/
ค่าขายอุปกรณ์
(เรียกเก็บสุทธิ)]]*$AB$4,"0")</f>
        <v>0</v>
      </c>
      <c r="AC35" s="668">
        <f>SUM(Table1351452010[[#This Row],[คอมฯ
 5%]:[คอมฯ
10%]])</f>
        <v>0</v>
      </c>
      <c r="AD35" s="681"/>
      <c r="AE35" s="648"/>
      <c r="AF35" s="672">
        <f>IF(Table1351452010[[#This Row],[หัก ณ ที่จ่าย
(ค่าเชื่อมสัญญาณ)]]="มี",Table1351452010[[#This Row],[ค่าเชื่อมสัญญาณ]]*$AF$4,0)</f>
        <v>0</v>
      </c>
      <c r="AG35" s="398">
        <f>Table1351452010[[#This Row],[ค่าเชื่อมสัญญาณ]]-Table1351452010[[#This Row],[มูลค่าหัก 3%
(ค่าเชื่อมสัญญาณ)]]</f>
        <v>0</v>
      </c>
      <c r="AH35" s="403">
        <f>Table1351452010[[#This Row],[ค่าเชื่อมสัญญาณ
(เรียกเก็บสุทธิ)]]*$AH$4</f>
        <v>0</v>
      </c>
      <c r="AI35"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35" s="589"/>
      <c r="AK35" s="589"/>
      <c r="AL35" s="590"/>
      <c r="AM35" s="549"/>
    </row>
    <row r="36" spans="1:39" s="621" customFormat="1" ht="27" hidden="1" customHeight="1">
      <c r="A36" s="591">
        <v>22.678571428571502</v>
      </c>
      <c r="B36" s="592"/>
      <c r="C36" s="593"/>
      <c r="D36" s="594"/>
      <c r="E36" s="594"/>
      <c r="F36" s="595"/>
      <c r="G36" s="622"/>
      <c r="H36" s="728"/>
      <c r="I36" s="596"/>
      <c r="J36" s="594"/>
      <c r="K36" s="597"/>
      <c r="L36" s="597"/>
      <c r="M36" s="598"/>
      <c r="N36" s="599"/>
      <c r="O36" s="600"/>
      <c r="P36" s="759"/>
      <c r="Q36" s="762"/>
      <c r="R36" s="757"/>
      <c r="S36" s="757"/>
      <c r="T36" s="753"/>
      <c r="U36" s="392"/>
      <c r="V36" s="410"/>
      <c r="W36" s="412"/>
      <c r="X36" s="390"/>
      <c r="Y36" s="393"/>
      <c r="Z36" s="724" t="e">
        <f t="shared" ref="Z36" si="7">Z35/Y35</f>
        <v>#DIV/0!</v>
      </c>
      <c r="AA36" s="642"/>
      <c r="AB36" s="642"/>
      <c r="AC36" s="669"/>
      <c r="AD36" s="407"/>
      <c r="AE36" s="410"/>
      <c r="AF36" s="410"/>
      <c r="AG36" s="394"/>
      <c r="AH36" s="404"/>
      <c r="AI36" s="601"/>
      <c r="AJ36" s="602"/>
      <c r="AK36" s="602"/>
      <c r="AL36" s="603"/>
      <c r="AM36" s="549"/>
    </row>
    <row r="37" spans="1:39" s="621" customFormat="1" ht="27" hidden="1" customHeight="1">
      <c r="A37" s="591">
        <v>23.8857142857143</v>
      </c>
      <c r="B37" s="591"/>
      <c r="C37" s="604"/>
      <c r="D37" s="605"/>
      <c r="E37" s="605"/>
      <c r="F37" s="595"/>
      <c r="G37" s="622"/>
      <c r="H37" s="728"/>
      <c r="I37" s="596"/>
      <c r="J37" s="594"/>
      <c r="K37" s="597"/>
      <c r="L37" s="597"/>
      <c r="M37" s="594"/>
      <c r="N37" s="606"/>
      <c r="O37" s="607"/>
      <c r="P37" s="760"/>
      <c r="Q37" s="763"/>
      <c r="R37" s="758"/>
      <c r="S37" s="758"/>
      <c r="T37" s="754"/>
      <c r="U37" s="392"/>
      <c r="V37" s="410"/>
      <c r="W37" s="412"/>
      <c r="X37" s="390"/>
      <c r="Y37" s="393"/>
      <c r="Z37" s="393"/>
      <c r="AA37" s="642"/>
      <c r="AB37" s="642"/>
      <c r="AC37" s="670"/>
      <c r="AD37" s="408"/>
      <c r="AE37" s="410"/>
      <c r="AF37" s="410"/>
      <c r="AG37" s="394"/>
      <c r="AH37" s="404"/>
      <c r="AI37" s="601"/>
      <c r="AJ37" s="602"/>
      <c r="AK37" s="602"/>
      <c r="AL37" s="603"/>
      <c r="AM37" s="549"/>
    </row>
    <row r="38" spans="1:39" s="621" customFormat="1" ht="27" hidden="1" customHeight="1" thickBot="1">
      <c r="A38" s="608">
        <v>25.092857142857198</v>
      </c>
      <c r="B38" s="608"/>
      <c r="C38" s="609"/>
      <c r="D38" s="610"/>
      <c r="E38" s="610"/>
      <c r="F38" s="611"/>
      <c r="G38" s="612"/>
      <c r="H38" s="729"/>
      <c r="I38" s="613"/>
      <c r="J38" s="614"/>
      <c r="K38" s="615"/>
      <c r="L38" s="615"/>
      <c r="M38" s="614"/>
      <c r="N38" s="616"/>
      <c r="O38" s="617"/>
      <c r="P38" s="761"/>
      <c r="Q38" s="764"/>
      <c r="R38" s="765"/>
      <c r="S38" s="765"/>
      <c r="T38" s="766"/>
      <c r="U38" s="395"/>
      <c r="V38" s="411"/>
      <c r="W38" s="413"/>
      <c r="X38" s="741"/>
      <c r="Y38" s="725"/>
      <c r="Z38" s="725"/>
      <c r="AA38" s="643"/>
      <c r="AB38" s="643"/>
      <c r="AC38" s="671"/>
      <c r="AD38" s="409"/>
      <c r="AE38" s="411"/>
      <c r="AF38" s="411"/>
      <c r="AG38" s="396"/>
      <c r="AH38" s="405"/>
      <c r="AI38" s="618"/>
      <c r="AJ38" s="619"/>
      <c r="AK38" s="619"/>
      <c r="AL38" s="620"/>
      <c r="AM38" s="751"/>
    </row>
    <row r="39" spans="1:39" s="621" customFormat="1" ht="27" hidden="1" customHeight="1">
      <c r="A39" s="673">
        <v>9</v>
      </c>
      <c r="B39" s="674"/>
      <c r="C39" s="677"/>
      <c r="D39" s="675"/>
      <c r="E39" s="675"/>
      <c r="F39" s="833"/>
      <c r="G39" s="676"/>
      <c r="H39" s="834"/>
      <c r="I39" s="680"/>
      <c r="J39" s="678"/>
      <c r="K39" s="645"/>
      <c r="L39" s="646">
        <f>IF(Table1351452010[[#This Row],[หัก ณ ที่จ่าย
(ค่าบริการ)]]="มี",Table1351452010[[#This Row],[ค่าบริการเฉลี่ยต่อเดือน]]*3%,0)</f>
        <v>0</v>
      </c>
      <c r="M39" s="585">
        <f>Table1351452010[[#This Row],[ค่าบริการเฉลี่ยต่อเดือน]]-Table1351452010[[#This Row],[มูลค่าหัก 3%]]</f>
        <v>0</v>
      </c>
      <c r="N39"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39" s="840">
        <f>Table1351452010[[#This Row],[ระยะเวลาสัญญา
(เดือน)]]/$O$5</f>
        <v>0</v>
      </c>
      <c r="P39" s="841"/>
      <c r="Q39" s="842"/>
      <c r="R39" s="843"/>
      <c r="S39" s="843"/>
      <c r="T39" s="844"/>
      <c r="U39" s="679"/>
      <c r="V39" s="648"/>
      <c r="W39" s="649">
        <f>IF(Table1351452010[[#This Row],[หัก ณ ที่จ่าย
(ค่าติตั้ง)]]="มี",Table1351452010[[#This Row],[ค่าเชื่อมสัญญาณ/
ค่าติดตั้ง/
ค่าขายอุปกรณ์]]*$W$4,0)</f>
        <v>0</v>
      </c>
      <c r="X39" s="738">
        <f>Table1351452010[[#This Row],[ค่าเชื่อมสัญญาณ/
ค่าติดตั้ง/
ค่าขายอุปกรณ์]]-Table1351452010[[#This Row],[มูลค่าหัก 3%
(ค่าติดตั้ง)]]</f>
        <v>0</v>
      </c>
      <c r="Y39" s="739"/>
      <c r="Z39" s="723">
        <f>Table1351452010[[#This Row],[ค่าเชื่อมสัญญาณ/
ค่าติดตั้ง/
ค่าขายอุปกรณ์
(เรียกเก็บสุทธิ)]]-Table1351452010[[#This Row],[ต้นทุน]]</f>
        <v>0</v>
      </c>
      <c r="AA39" s="587" t="str">
        <f>IF(Table1351452010[[#This Row],[ส่วนต่างกำไร]]&lt;(Table1351452010[[#This Row],[ต้นทุน]]*5%),Table1351452010[[#This Row],[ค่าเชื่อมสัญญาณ/
ค่าติดตั้ง/
ค่าขายอุปกรณ์
(เรียกเก็บสุทธิ)]]*$AA$4,"0")</f>
        <v>0</v>
      </c>
      <c r="AB39" s="587">
        <f>IF(Table1351452010[[#This Row],[ส่วนต่างกำไร]]&gt;=(Table1351452010[[#This Row],[ต้นทุน]]*5%),Table1351452010[[#This Row],[ค่าเชื่อมสัญญาณ/
ค่าติดตั้ง/
ค่าขายอุปกรณ์
(เรียกเก็บสุทธิ)]]*$AB$4,"0")</f>
        <v>0</v>
      </c>
      <c r="AC39" s="668">
        <f>SUM(Table1351452010[[#This Row],[คอมฯ
 5%]:[คอมฯ
10%]])</f>
        <v>0</v>
      </c>
      <c r="AD39" s="681"/>
      <c r="AE39" s="648"/>
      <c r="AF39" s="672">
        <f>IF(Table1351452010[[#This Row],[หัก ณ ที่จ่าย
(ค่าเชื่อมสัญญาณ)]]="มี",Table1351452010[[#This Row],[ค่าเชื่อมสัญญาณ]]*$AF$4,0)</f>
        <v>0</v>
      </c>
      <c r="AG39" s="398">
        <f>Table1351452010[[#This Row],[ค่าเชื่อมสัญญาณ]]-Table1351452010[[#This Row],[มูลค่าหัก 3%
(ค่าเชื่อมสัญญาณ)]]</f>
        <v>0</v>
      </c>
      <c r="AH39" s="403">
        <f>Table1351452010[[#This Row],[ค่าเชื่อมสัญญาณ
(เรียกเก็บสุทธิ)]]*$AH$4</f>
        <v>0</v>
      </c>
      <c r="AI39"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39" s="589"/>
      <c r="AK39" s="589"/>
      <c r="AL39" s="590"/>
      <c r="AM39" s="549"/>
    </row>
    <row r="40" spans="1:39" s="621" customFormat="1" ht="27" hidden="1" customHeight="1">
      <c r="A40" s="591">
        <v>22.678571428571502</v>
      </c>
      <c r="B40" s="592"/>
      <c r="C40" s="593"/>
      <c r="D40" s="594"/>
      <c r="E40" s="594"/>
      <c r="F40" s="595"/>
      <c r="G40" s="622"/>
      <c r="H40" s="728"/>
      <c r="I40" s="596"/>
      <c r="J40" s="594"/>
      <c r="K40" s="597"/>
      <c r="L40" s="597"/>
      <c r="M40" s="598"/>
      <c r="N40" s="599"/>
      <c r="O40" s="600"/>
      <c r="P40" s="759"/>
      <c r="Q40" s="762"/>
      <c r="R40" s="757"/>
      <c r="S40" s="757"/>
      <c r="T40" s="753"/>
      <c r="U40" s="392"/>
      <c r="V40" s="410"/>
      <c r="W40" s="412"/>
      <c r="X40" s="390"/>
      <c r="Y40" s="393"/>
      <c r="Z40" s="724" t="e">
        <f t="shared" ref="Z40" si="8">Z39/Y39</f>
        <v>#DIV/0!</v>
      </c>
      <c r="AA40" s="642"/>
      <c r="AB40" s="642"/>
      <c r="AC40" s="669"/>
      <c r="AD40" s="407"/>
      <c r="AE40" s="410"/>
      <c r="AF40" s="410"/>
      <c r="AG40" s="394"/>
      <c r="AH40" s="404"/>
      <c r="AI40" s="601"/>
      <c r="AJ40" s="602"/>
      <c r="AK40" s="602"/>
      <c r="AL40" s="603"/>
      <c r="AM40" s="549"/>
    </row>
    <row r="41" spans="1:39" s="621" customFormat="1" ht="27" hidden="1" customHeight="1">
      <c r="A41" s="591">
        <v>23.8857142857143</v>
      </c>
      <c r="B41" s="591"/>
      <c r="C41" s="604"/>
      <c r="D41" s="605"/>
      <c r="E41" s="605"/>
      <c r="F41" s="595"/>
      <c r="G41" s="622"/>
      <c r="H41" s="728"/>
      <c r="I41" s="596"/>
      <c r="J41" s="594"/>
      <c r="K41" s="597"/>
      <c r="L41" s="597"/>
      <c r="M41" s="594"/>
      <c r="N41" s="606"/>
      <c r="O41" s="607"/>
      <c r="P41" s="760"/>
      <c r="Q41" s="763"/>
      <c r="R41" s="758"/>
      <c r="S41" s="758"/>
      <c r="T41" s="754"/>
      <c r="U41" s="392"/>
      <c r="V41" s="410"/>
      <c r="W41" s="412"/>
      <c r="X41" s="390"/>
      <c r="Y41" s="393"/>
      <c r="Z41" s="393"/>
      <c r="AA41" s="642"/>
      <c r="AB41" s="642"/>
      <c r="AC41" s="670"/>
      <c r="AD41" s="408"/>
      <c r="AE41" s="410"/>
      <c r="AF41" s="410"/>
      <c r="AG41" s="394"/>
      <c r="AH41" s="404"/>
      <c r="AI41" s="601"/>
      <c r="AJ41" s="602"/>
      <c r="AK41" s="602"/>
      <c r="AL41" s="603"/>
      <c r="AM41" s="549"/>
    </row>
    <row r="42" spans="1:39" s="621" customFormat="1" ht="27" hidden="1" customHeight="1" thickBot="1">
      <c r="A42" s="608">
        <v>25.092857142857198</v>
      </c>
      <c r="B42" s="608"/>
      <c r="C42" s="609"/>
      <c r="D42" s="610"/>
      <c r="E42" s="610"/>
      <c r="F42" s="611"/>
      <c r="G42" s="612"/>
      <c r="H42" s="729"/>
      <c r="I42" s="613"/>
      <c r="J42" s="614"/>
      <c r="K42" s="615"/>
      <c r="L42" s="615"/>
      <c r="M42" s="614"/>
      <c r="N42" s="616"/>
      <c r="O42" s="617"/>
      <c r="P42" s="761"/>
      <c r="Q42" s="764"/>
      <c r="R42" s="765"/>
      <c r="S42" s="765"/>
      <c r="T42" s="766"/>
      <c r="U42" s="395"/>
      <c r="V42" s="411"/>
      <c r="W42" s="413"/>
      <c r="X42" s="741"/>
      <c r="Y42" s="725"/>
      <c r="Z42" s="725"/>
      <c r="AA42" s="643"/>
      <c r="AB42" s="643"/>
      <c r="AC42" s="671"/>
      <c r="AD42" s="409"/>
      <c r="AE42" s="411"/>
      <c r="AF42" s="411"/>
      <c r="AG42" s="396"/>
      <c r="AH42" s="405"/>
      <c r="AI42" s="618"/>
      <c r="AJ42" s="619"/>
      <c r="AK42" s="619"/>
      <c r="AL42" s="620"/>
      <c r="AM42" s="751"/>
    </row>
    <row r="43" spans="1:39" s="621" customFormat="1" ht="27" hidden="1" customHeight="1">
      <c r="A43" s="673">
        <v>10</v>
      </c>
      <c r="B43" s="674"/>
      <c r="C43" s="677"/>
      <c r="D43" s="675"/>
      <c r="E43" s="675"/>
      <c r="F43" s="833"/>
      <c r="G43" s="676"/>
      <c r="H43" s="834"/>
      <c r="I43" s="680"/>
      <c r="J43" s="678"/>
      <c r="K43" s="645"/>
      <c r="L43" s="646">
        <f>IF(Table1351452010[[#This Row],[หัก ณ ที่จ่าย
(ค่าบริการ)]]="มี",Table1351452010[[#This Row],[ค่าบริการเฉลี่ยต่อเดือน]]*3%,0)</f>
        <v>0</v>
      </c>
      <c r="M43" s="585">
        <f>Table1351452010[[#This Row],[ค่าบริการเฉลี่ยต่อเดือน]]-Table1351452010[[#This Row],[มูลค่าหัก 3%]]</f>
        <v>0</v>
      </c>
      <c r="N43"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43" s="840">
        <f>Table1351452010[[#This Row],[ระยะเวลาสัญญา
(เดือน)]]/$O$5</f>
        <v>0</v>
      </c>
      <c r="P43" s="841"/>
      <c r="Q43" s="842"/>
      <c r="R43" s="843"/>
      <c r="S43" s="843"/>
      <c r="T43" s="844"/>
      <c r="U43" s="679"/>
      <c r="V43" s="648"/>
      <c r="W43" s="649">
        <f>IF(Table1351452010[[#This Row],[หัก ณ ที่จ่าย
(ค่าติตั้ง)]]="มี",Table1351452010[[#This Row],[ค่าเชื่อมสัญญาณ/
ค่าติดตั้ง/
ค่าขายอุปกรณ์]]*$W$4,0)</f>
        <v>0</v>
      </c>
      <c r="X43" s="738">
        <f>Table1351452010[[#This Row],[ค่าเชื่อมสัญญาณ/
ค่าติดตั้ง/
ค่าขายอุปกรณ์]]-Table1351452010[[#This Row],[มูลค่าหัก 3%
(ค่าติดตั้ง)]]</f>
        <v>0</v>
      </c>
      <c r="Y43" s="739"/>
      <c r="Z43" s="723">
        <f>Table1351452010[[#This Row],[ค่าเชื่อมสัญญาณ/
ค่าติดตั้ง/
ค่าขายอุปกรณ์
(เรียกเก็บสุทธิ)]]-Table1351452010[[#This Row],[ต้นทุน]]</f>
        <v>0</v>
      </c>
      <c r="AA43" s="587" t="str">
        <f>IF(Table1351452010[[#This Row],[ส่วนต่างกำไร]]&lt;(Table1351452010[[#This Row],[ต้นทุน]]*5%),Table1351452010[[#This Row],[ค่าเชื่อมสัญญาณ/
ค่าติดตั้ง/
ค่าขายอุปกรณ์
(เรียกเก็บสุทธิ)]]*$AA$4,"0")</f>
        <v>0</v>
      </c>
      <c r="AB43" s="587">
        <f>IF(Table1351452010[[#This Row],[ส่วนต่างกำไร]]&gt;=(Table1351452010[[#This Row],[ต้นทุน]]*5%),Table1351452010[[#This Row],[ค่าเชื่อมสัญญาณ/
ค่าติดตั้ง/
ค่าขายอุปกรณ์
(เรียกเก็บสุทธิ)]]*$AB$4,"0")</f>
        <v>0</v>
      </c>
      <c r="AC43" s="668">
        <f>SUM(Table1351452010[[#This Row],[คอมฯ
 5%]:[คอมฯ
10%]])</f>
        <v>0</v>
      </c>
      <c r="AD43" s="681"/>
      <c r="AE43" s="648"/>
      <c r="AF43" s="672">
        <f>IF(Table1351452010[[#This Row],[หัก ณ ที่จ่าย
(ค่าเชื่อมสัญญาณ)]]="มี",Table1351452010[[#This Row],[ค่าเชื่อมสัญญาณ]]*$AF$4,0)</f>
        <v>0</v>
      </c>
      <c r="AG43" s="398">
        <f>Table1351452010[[#This Row],[ค่าเชื่อมสัญญาณ]]-Table1351452010[[#This Row],[มูลค่าหัก 3%
(ค่าเชื่อมสัญญาณ)]]</f>
        <v>0</v>
      </c>
      <c r="AH43" s="403">
        <f>Table1351452010[[#This Row],[ค่าเชื่อมสัญญาณ
(เรียกเก็บสุทธิ)]]*$AH$4</f>
        <v>0</v>
      </c>
      <c r="AI43"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43" s="589"/>
      <c r="AK43" s="589"/>
      <c r="AL43" s="590"/>
      <c r="AM43" s="549"/>
    </row>
    <row r="44" spans="1:39" s="621" customFormat="1" ht="27" hidden="1" customHeight="1">
      <c r="A44" s="591">
        <v>22.678571428571502</v>
      </c>
      <c r="B44" s="592"/>
      <c r="C44" s="593"/>
      <c r="D44" s="594"/>
      <c r="E44" s="594"/>
      <c r="F44" s="595"/>
      <c r="G44" s="622"/>
      <c r="H44" s="728"/>
      <c r="I44" s="596"/>
      <c r="J44" s="594"/>
      <c r="K44" s="597"/>
      <c r="L44" s="597"/>
      <c r="M44" s="598"/>
      <c r="N44" s="599"/>
      <c r="O44" s="600"/>
      <c r="P44" s="759"/>
      <c r="Q44" s="762"/>
      <c r="R44" s="757"/>
      <c r="S44" s="757"/>
      <c r="T44" s="753"/>
      <c r="U44" s="392"/>
      <c r="V44" s="410"/>
      <c r="W44" s="412"/>
      <c r="X44" s="390"/>
      <c r="Y44" s="393"/>
      <c r="Z44" s="724" t="e">
        <f t="shared" ref="Z44" si="9">Z43/Y43</f>
        <v>#DIV/0!</v>
      </c>
      <c r="AA44" s="642"/>
      <c r="AB44" s="642"/>
      <c r="AC44" s="669"/>
      <c r="AD44" s="407"/>
      <c r="AE44" s="410"/>
      <c r="AF44" s="410"/>
      <c r="AG44" s="394"/>
      <c r="AH44" s="404"/>
      <c r="AI44" s="601"/>
      <c r="AJ44" s="602"/>
      <c r="AK44" s="602"/>
      <c r="AL44" s="603"/>
      <c r="AM44" s="549"/>
    </row>
    <row r="45" spans="1:39" s="621" customFormat="1" ht="27" hidden="1" customHeight="1">
      <c r="A45" s="591">
        <v>23.8857142857143</v>
      </c>
      <c r="B45" s="591"/>
      <c r="C45" s="604"/>
      <c r="D45" s="605"/>
      <c r="E45" s="605"/>
      <c r="F45" s="595"/>
      <c r="G45" s="622"/>
      <c r="H45" s="728"/>
      <c r="I45" s="596"/>
      <c r="J45" s="594"/>
      <c r="K45" s="597"/>
      <c r="L45" s="597"/>
      <c r="M45" s="594"/>
      <c r="N45" s="606"/>
      <c r="O45" s="607"/>
      <c r="P45" s="760"/>
      <c r="Q45" s="763"/>
      <c r="R45" s="758"/>
      <c r="S45" s="758"/>
      <c r="T45" s="754"/>
      <c r="U45" s="392"/>
      <c r="V45" s="410"/>
      <c r="W45" s="412"/>
      <c r="X45" s="390"/>
      <c r="Y45" s="393"/>
      <c r="Z45" s="393"/>
      <c r="AA45" s="642"/>
      <c r="AB45" s="642"/>
      <c r="AC45" s="670"/>
      <c r="AD45" s="408"/>
      <c r="AE45" s="410"/>
      <c r="AF45" s="410"/>
      <c r="AG45" s="394"/>
      <c r="AH45" s="404"/>
      <c r="AI45" s="601"/>
      <c r="AJ45" s="602"/>
      <c r="AK45" s="602"/>
      <c r="AL45" s="603"/>
      <c r="AM45" s="549"/>
    </row>
    <row r="46" spans="1:39" s="621" customFormat="1" ht="27" hidden="1" customHeight="1" thickBot="1">
      <c r="A46" s="608">
        <v>25.092857142857198</v>
      </c>
      <c r="B46" s="608"/>
      <c r="C46" s="609"/>
      <c r="D46" s="610"/>
      <c r="E46" s="610"/>
      <c r="F46" s="611"/>
      <c r="G46" s="612"/>
      <c r="H46" s="729"/>
      <c r="I46" s="613"/>
      <c r="J46" s="614"/>
      <c r="K46" s="615"/>
      <c r="L46" s="615"/>
      <c r="M46" s="614"/>
      <c r="N46" s="616"/>
      <c r="O46" s="617"/>
      <c r="P46" s="761"/>
      <c r="Q46" s="764"/>
      <c r="R46" s="765"/>
      <c r="S46" s="765"/>
      <c r="T46" s="766"/>
      <c r="U46" s="395"/>
      <c r="V46" s="411"/>
      <c r="W46" s="413"/>
      <c r="X46" s="741"/>
      <c r="Y46" s="725"/>
      <c r="Z46" s="725"/>
      <c r="AA46" s="643"/>
      <c r="AB46" s="643"/>
      <c r="AC46" s="671"/>
      <c r="AD46" s="409"/>
      <c r="AE46" s="411"/>
      <c r="AF46" s="411"/>
      <c r="AG46" s="396"/>
      <c r="AH46" s="405"/>
      <c r="AI46" s="618"/>
      <c r="AJ46" s="619"/>
      <c r="AK46" s="619"/>
      <c r="AL46" s="620"/>
      <c r="AM46" s="751"/>
    </row>
    <row r="47" spans="1:39" s="621" customFormat="1" ht="27" hidden="1" customHeight="1">
      <c r="A47" s="673">
        <v>11</v>
      </c>
      <c r="B47" s="674"/>
      <c r="C47" s="677"/>
      <c r="D47" s="675"/>
      <c r="E47" s="675"/>
      <c r="F47" s="833"/>
      <c r="G47" s="676"/>
      <c r="H47" s="834"/>
      <c r="I47" s="680"/>
      <c r="J47" s="678"/>
      <c r="K47" s="645"/>
      <c r="L47" s="646">
        <f>IF(Table1351452010[[#This Row],[หัก ณ ที่จ่าย
(ค่าบริการ)]]="มี",Table1351452010[[#This Row],[ค่าบริการเฉลี่ยต่อเดือน]]*3%,0)</f>
        <v>0</v>
      </c>
      <c r="M47" s="585">
        <f>Table1351452010[[#This Row],[ค่าบริการเฉลี่ยต่อเดือน]]-Table1351452010[[#This Row],[มูลค่าหัก 3%]]</f>
        <v>0</v>
      </c>
      <c r="N47"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47" s="840">
        <f>Table1351452010[[#This Row],[ระยะเวลาสัญญา
(เดือน)]]/$O$5</f>
        <v>0</v>
      </c>
      <c r="P47" s="841"/>
      <c r="Q47" s="842"/>
      <c r="R47" s="843"/>
      <c r="S47" s="843"/>
      <c r="T47" s="844"/>
      <c r="U47" s="679"/>
      <c r="V47" s="648"/>
      <c r="W47" s="649">
        <f>IF(Table1351452010[[#This Row],[หัก ณ ที่จ่าย
(ค่าติตั้ง)]]="มี",Table1351452010[[#This Row],[ค่าเชื่อมสัญญาณ/
ค่าติดตั้ง/
ค่าขายอุปกรณ์]]*$W$4,0)</f>
        <v>0</v>
      </c>
      <c r="X47" s="738">
        <f>Table1351452010[[#This Row],[ค่าเชื่อมสัญญาณ/
ค่าติดตั้ง/
ค่าขายอุปกรณ์]]-Table1351452010[[#This Row],[มูลค่าหัก 3%
(ค่าติดตั้ง)]]</f>
        <v>0</v>
      </c>
      <c r="Y47" s="739"/>
      <c r="Z47" s="723">
        <f>Table1351452010[[#This Row],[ค่าเชื่อมสัญญาณ/
ค่าติดตั้ง/
ค่าขายอุปกรณ์
(เรียกเก็บสุทธิ)]]-Table1351452010[[#This Row],[ต้นทุน]]</f>
        <v>0</v>
      </c>
      <c r="AA47" s="587" t="str">
        <f>IF(Table1351452010[[#This Row],[ส่วนต่างกำไร]]&lt;(Table1351452010[[#This Row],[ต้นทุน]]*5%),Table1351452010[[#This Row],[ค่าเชื่อมสัญญาณ/
ค่าติดตั้ง/
ค่าขายอุปกรณ์
(เรียกเก็บสุทธิ)]]*$AA$4,"0")</f>
        <v>0</v>
      </c>
      <c r="AB47" s="587">
        <f>IF(Table1351452010[[#This Row],[ส่วนต่างกำไร]]&gt;=(Table1351452010[[#This Row],[ต้นทุน]]*5%),Table1351452010[[#This Row],[ค่าเชื่อมสัญญาณ/
ค่าติดตั้ง/
ค่าขายอุปกรณ์
(เรียกเก็บสุทธิ)]]*$AB$4,"0")</f>
        <v>0</v>
      </c>
      <c r="AC47" s="668">
        <f>SUM(Table1351452010[[#This Row],[คอมฯ
 5%]:[คอมฯ
10%]])</f>
        <v>0</v>
      </c>
      <c r="AD47" s="681"/>
      <c r="AE47" s="648"/>
      <c r="AF47" s="672">
        <f>IF(Table1351452010[[#This Row],[หัก ณ ที่จ่าย
(ค่าเชื่อมสัญญาณ)]]="มี",Table1351452010[[#This Row],[ค่าเชื่อมสัญญาณ]]*$AF$4,0)</f>
        <v>0</v>
      </c>
      <c r="AG47" s="398">
        <f>Table1351452010[[#This Row],[ค่าเชื่อมสัญญาณ]]-Table1351452010[[#This Row],[มูลค่าหัก 3%
(ค่าเชื่อมสัญญาณ)]]</f>
        <v>0</v>
      </c>
      <c r="AH47" s="403">
        <f>Table1351452010[[#This Row],[ค่าเชื่อมสัญญาณ
(เรียกเก็บสุทธิ)]]*$AH$4</f>
        <v>0</v>
      </c>
      <c r="AI47"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47" s="589"/>
      <c r="AK47" s="589"/>
      <c r="AL47" s="590"/>
      <c r="AM47" s="549"/>
    </row>
    <row r="48" spans="1:39" s="621" customFormat="1" ht="27" hidden="1" customHeight="1">
      <c r="A48" s="591">
        <v>22.678571428571502</v>
      </c>
      <c r="B48" s="592"/>
      <c r="C48" s="593"/>
      <c r="D48" s="594"/>
      <c r="E48" s="594"/>
      <c r="F48" s="595"/>
      <c r="G48" s="622"/>
      <c r="H48" s="728"/>
      <c r="I48" s="596"/>
      <c r="J48" s="594"/>
      <c r="K48" s="597"/>
      <c r="L48" s="597"/>
      <c r="M48" s="598"/>
      <c r="N48" s="599"/>
      <c r="O48" s="600"/>
      <c r="P48" s="759"/>
      <c r="Q48" s="762"/>
      <c r="R48" s="757"/>
      <c r="S48" s="757"/>
      <c r="T48" s="753"/>
      <c r="U48" s="392"/>
      <c r="V48" s="410"/>
      <c r="W48" s="412"/>
      <c r="X48" s="390"/>
      <c r="Y48" s="393"/>
      <c r="Z48" s="724" t="e">
        <f t="shared" ref="Z48" si="10">Z47/Y47</f>
        <v>#DIV/0!</v>
      </c>
      <c r="AA48" s="642"/>
      <c r="AB48" s="642"/>
      <c r="AC48" s="669"/>
      <c r="AD48" s="407"/>
      <c r="AE48" s="410"/>
      <c r="AF48" s="410"/>
      <c r="AG48" s="394"/>
      <c r="AH48" s="404"/>
      <c r="AI48" s="601"/>
      <c r="AJ48" s="602"/>
      <c r="AK48" s="602"/>
      <c r="AL48" s="603"/>
      <c r="AM48" s="549"/>
    </row>
    <row r="49" spans="1:40" s="621" customFormat="1" ht="27" hidden="1" customHeight="1">
      <c r="A49" s="591">
        <v>23.8857142857143</v>
      </c>
      <c r="B49" s="591"/>
      <c r="C49" s="604"/>
      <c r="D49" s="605"/>
      <c r="E49" s="605"/>
      <c r="F49" s="595"/>
      <c r="G49" s="622"/>
      <c r="H49" s="728"/>
      <c r="I49" s="596"/>
      <c r="J49" s="594"/>
      <c r="K49" s="597"/>
      <c r="L49" s="597"/>
      <c r="M49" s="594"/>
      <c r="N49" s="606"/>
      <c r="O49" s="607"/>
      <c r="P49" s="760"/>
      <c r="Q49" s="763"/>
      <c r="R49" s="758"/>
      <c r="S49" s="758"/>
      <c r="T49" s="754"/>
      <c r="U49" s="392"/>
      <c r="V49" s="410"/>
      <c r="W49" s="412"/>
      <c r="X49" s="390"/>
      <c r="Y49" s="393"/>
      <c r="Z49" s="393"/>
      <c r="AA49" s="642"/>
      <c r="AB49" s="642"/>
      <c r="AC49" s="670"/>
      <c r="AD49" s="408"/>
      <c r="AE49" s="410"/>
      <c r="AF49" s="410"/>
      <c r="AG49" s="394"/>
      <c r="AH49" s="404"/>
      <c r="AI49" s="601"/>
      <c r="AJ49" s="602"/>
      <c r="AK49" s="602"/>
      <c r="AL49" s="603"/>
      <c r="AM49" s="549"/>
    </row>
    <row r="50" spans="1:40" s="621" customFormat="1" ht="27" hidden="1" customHeight="1" thickBot="1">
      <c r="A50" s="608">
        <v>25.092857142857198</v>
      </c>
      <c r="B50" s="608"/>
      <c r="C50" s="609"/>
      <c r="D50" s="610"/>
      <c r="E50" s="610"/>
      <c r="F50" s="611"/>
      <c r="G50" s="612"/>
      <c r="H50" s="729"/>
      <c r="I50" s="613"/>
      <c r="J50" s="614"/>
      <c r="K50" s="615"/>
      <c r="L50" s="615"/>
      <c r="M50" s="614"/>
      <c r="N50" s="616"/>
      <c r="O50" s="617"/>
      <c r="P50" s="761"/>
      <c r="Q50" s="764"/>
      <c r="R50" s="765"/>
      <c r="S50" s="765"/>
      <c r="T50" s="766"/>
      <c r="U50" s="395"/>
      <c r="V50" s="411"/>
      <c r="W50" s="413"/>
      <c r="X50" s="741"/>
      <c r="Y50" s="725"/>
      <c r="Z50" s="725"/>
      <c r="AA50" s="643"/>
      <c r="AB50" s="643"/>
      <c r="AC50" s="671"/>
      <c r="AD50" s="409"/>
      <c r="AE50" s="411"/>
      <c r="AF50" s="411"/>
      <c r="AG50" s="396"/>
      <c r="AH50" s="405"/>
      <c r="AI50" s="618"/>
      <c r="AJ50" s="619"/>
      <c r="AK50" s="619"/>
      <c r="AL50" s="620"/>
      <c r="AM50" s="751"/>
    </row>
    <row r="51" spans="1:40" s="621" customFormat="1" ht="27" hidden="1" customHeight="1">
      <c r="A51" s="673">
        <v>12</v>
      </c>
      <c r="B51" s="674"/>
      <c r="C51" s="677"/>
      <c r="D51" s="675"/>
      <c r="E51" s="675"/>
      <c r="F51" s="833"/>
      <c r="G51" s="676"/>
      <c r="H51" s="834"/>
      <c r="I51" s="680"/>
      <c r="J51" s="678"/>
      <c r="K51" s="645"/>
      <c r="L51" s="646">
        <f>IF(Table1351452010[[#This Row],[หัก ณ ที่จ่าย
(ค่าบริการ)]]="มี",Table1351452010[[#This Row],[ค่าบริการเฉลี่ยต่อเดือน]]*3%,0)</f>
        <v>0</v>
      </c>
      <c r="M51" s="585">
        <f>Table1351452010[[#This Row],[ค่าบริการเฉลี่ยต่อเดือน]]-Table1351452010[[#This Row],[มูลค่าหัก 3%]]</f>
        <v>0</v>
      </c>
      <c r="N51"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51" s="840">
        <f>Table1351452010[[#This Row],[ระยะเวลาสัญญา
(เดือน)]]/$O$5</f>
        <v>0</v>
      </c>
      <c r="P51" s="841"/>
      <c r="Q51" s="842"/>
      <c r="R51" s="843"/>
      <c r="S51" s="843"/>
      <c r="T51" s="844"/>
      <c r="U51" s="679"/>
      <c r="V51" s="648"/>
      <c r="W51" s="649">
        <f>IF(Table1351452010[[#This Row],[หัก ณ ที่จ่าย
(ค่าติตั้ง)]]="มี",Table1351452010[[#This Row],[ค่าเชื่อมสัญญาณ/
ค่าติดตั้ง/
ค่าขายอุปกรณ์]]*$W$4,0)</f>
        <v>0</v>
      </c>
      <c r="X51" s="738">
        <f>Table1351452010[[#This Row],[ค่าเชื่อมสัญญาณ/
ค่าติดตั้ง/
ค่าขายอุปกรณ์]]-Table1351452010[[#This Row],[มูลค่าหัก 3%
(ค่าติดตั้ง)]]</f>
        <v>0</v>
      </c>
      <c r="Y51" s="739"/>
      <c r="Z51" s="723">
        <f>Table1351452010[[#This Row],[ค่าเชื่อมสัญญาณ/
ค่าติดตั้ง/
ค่าขายอุปกรณ์
(เรียกเก็บสุทธิ)]]-Table1351452010[[#This Row],[ต้นทุน]]</f>
        <v>0</v>
      </c>
      <c r="AA51" s="587" t="str">
        <f>IF(Table1351452010[[#This Row],[ส่วนต่างกำไร]]&lt;(Table1351452010[[#This Row],[ต้นทุน]]*5%),Table1351452010[[#This Row],[ค่าเชื่อมสัญญาณ/
ค่าติดตั้ง/
ค่าขายอุปกรณ์
(เรียกเก็บสุทธิ)]]*$AA$4,"0")</f>
        <v>0</v>
      </c>
      <c r="AB51" s="587">
        <f>IF(Table1351452010[[#This Row],[ส่วนต่างกำไร]]&gt;=(Table1351452010[[#This Row],[ต้นทุน]]*5%),Table1351452010[[#This Row],[ค่าเชื่อมสัญญาณ/
ค่าติดตั้ง/
ค่าขายอุปกรณ์
(เรียกเก็บสุทธิ)]]*$AB$4,"0")</f>
        <v>0</v>
      </c>
      <c r="AC51" s="668">
        <f>SUM(Table1351452010[[#This Row],[คอมฯ
 5%]:[คอมฯ
10%]])</f>
        <v>0</v>
      </c>
      <c r="AD51" s="681"/>
      <c r="AE51" s="648"/>
      <c r="AF51" s="672">
        <f>IF(Table1351452010[[#This Row],[หัก ณ ที่จ่าย
(ค่าเชื่อมสัญญาณ)]]="มี",Table1351452010[[#This Row],[ค่าเชื่อมสัญญาณ]]*$AF$4,0)</f>
        <v>0</v>
      </c>
      <c r="AG51" s="398">
        <f>Table1351452010[[#This Row],[ค่าเชื่อมสัญญาณ]]-Table1351452010[[#This Row],[มูลค่าหัก 3%
(ค่าเชื่อมสัญญาณ)]]</f>
        <v>0</v>
      </c>
      <c r="AH51" s="403">
        <f>Table1351452010[[#This Row],[ค่าเชื่อมสัญญาณ
(เรียกเก็บสุทธิ)]]*$AH$4</f>
        <v>0</v>
      </c>
      <c r="AI51"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51" s="589"/>
      <c r="AK51" s="589"/>
      <c r="AL51" s="590"/>
      <c r="AM51" s="549"/>
    </row>
    <row r="52" spans="1:40" s="621" customFormat="1" ht="27" hidden="1" customHeight="1">
      <c r="A52" s="591">
        <v>22.678571428571502</v>
      </c>
      <c r="B52" s="592"/>
      <c r="C52" s="593"/>
      <c r="D52" s="594"/>
      <c r="E52" s="594"/>
      <c r="F52" s="595"/>
      <c r="G52" s="622"/>
      <c r="H52" s="728"/>
      <c r="I52" s="596"/>
      <c r="J52" s="594"/>
      <c r="K52" s="597"/>
      <c r="L52" s="597"/>
      <c r="M52" s="598"/>
      <c r="N52" s="599"/>
      <c r="O52" s="600"/>
      <c r="P52" s="759"/>
      <c r="Q52" s="762"/>
      <c r="R52" s="757"/>
      <c r="S52" s="757"/>
      <c r="T52" s="753"/>
      <c r="U52" s="392"/>
      <c r="V52" s="410"/>
      <c r="W52" s="412"/>
      <c r="X52" s="390"/>
      <c r="Y52" s="393"/>
      <c r="Z52" s="724" t="e">
        <f t="shared" ref="Z52" si="11">Z51/Y51</f>
        <v>#DIV/0!</v>
      </c>
      <c r="AA52" s="642"/>
      <c r="AB52" s="642"/>
      <c r="AC52" s="669"/>
      <c r="AD52" s="407"/>
      <c r="AE52" s="410"/>
      <c r="AF52" s="410"/>
      <c r="AG52" s="394"/>
      <c r="AH52" s="404"/>
      <c r="AI52" s="601"/>
      <c r="AJ52" s="602"/>
      <c r="AK52" s="602"/>
      <c r="AL52" s="603"/>
      <c r="AM52" s="549"/>
    </row>
    <row r="53" spans="1:40" s="621" customFormat="1" ht="27" hidden="1" customHeight="1">
      <c r="A53" s="591">
        <v>23.8857142857143</v>
      </c>
      <c r="B53" s="591"/>
      <c r="C53" s="604"/>
      <c r="D53" s="605"/>
      <c r="E53" s="605"/>
      <c r="F53" s="595"/>
      <c r="G53" s="622"/>
      <c r="H53" s="728"/>
      <c r="I53" s="596"/>
      <c r="J53" s="594"/>
      <c r="K53" s="597"/>
      <c r="L53" s="597"/>
      <c r="M53" s="594"/>
      <c r="N53" s="606"/>
      <c r="O53" s="607"/>
      <c r="P53" s="760"/>
      <c r="Q53" s="763"/>
      <c r="R53" s="758"/>
      <c r="S53" s="758"/>
      <c r="T53" s="754"/>
      <c r="U53" s="392"/>
      <c r="V53" s="410"/>
      <c r="W53" s="412"/>
      <c r="X53" s="390"/>
      <c r="Y53" s="393"/>
      <c r="Z53" s="393"/>
      <c r="AA53" s="642"/>
      <c r="AB53" s="642"/>
      <c r="AC53" s="670"/>
      <c r="AD53" s="408"/>
      <c r="AE53" s="410"/>
      <c r="AF53" s="410"/>
      <c r="AG53" s="394"/>
      <c r="AH53" s="404"/>
      <c r="AI53" s="601"/>
      <c r="AJ53" s="602"/>
      <c r="AK53" s="602"/>
      <c r="AL53" s="603"/>
      <c r="AM53" s="549"/>
    </row>
    <row r="54" spans="1:40" s="621" customFormat="1" ht="27" hidden="1" customHeight="1" thickBot="1">
      <c r="A54" s="608">
        <v>25.092857142857198</v>
      </c>
      <c r="B54" s="608"/>
      <c r="C54" s="609"/>
      <c r="D54" s="610"/>
      <c r="E54" s="610"/>
      <c r="F54" s="611"/>
      <c r="G54" s="612"/>
      <c r="H54" s="729"/>
      <c r="I54" s="613"/>
      <c r="J54" s="614"/>
      <c r="K54" s="615"/>
      <c r="L54" s="615"/>
      <c r="M54" s="614"/>
      <c r="N54" s="616"/>
      <c r="O54" s="617"/>
      <c r="P54" s="761"/>
      <c r="Q54" s="764"/>
      <c r="R54" s="765"/>
      <c r="S54" s="765"/>
      <c r="T54" s="766"/>
      <c r="U54" s="395"/>
      <c r="V54" s="411"/>
      <c r="W54" s="413"/>
      <c r="X54" s="741"/>
      <c r="Y54" s="725"/>
      <c r="Z54" s="725"/>
      <c r="AA54" s="643"/>
      <c r="AB54" s="643"/>
      <c r="AC54" s="671"/>
      <c r="AD54" s="409"/>
      <c r="AE54" s="411"/>
      <c r="AF54" s="411"/>
      <c r="AG54" s="396"/>
      <c r="AH54" s="405"/>
      <c r="AI54" s="618"/>
      <c r="AJ54" s="619"/>
      <c r="AK54" s="619"/>
      <c r="AL54" s="620"/>
      <c r="AM54" s="751"/>
    </row>
    <row r="55" spans="1:40" s="621" customFormat="1" ht="27" hidden="1" customHeight="1">
      <c r="A55" s="673">
        <v>13</v>
      </c>
      <c r="B55" s="674"/>
      <c r="C55" s="677"/>
      <c r="D55" s="675"/>
      <c r="E55" s="675"/>
      <c r="F55" s="833"/>
      <c r="G55" s="676"/>
      <c r="H55" s="834"/>
      <c r="I55" s="680"/>
      <c r="J55" s="678"/>
      <c r="K55" s="645"/>
      <c r="L55" s="646">
        <f>IF(Table1351452010[[#This Row],[หัก ณ ที่จ่าย
(ค่าบริการ)]]="มี",Table1351452010[[#This Row],[ค่าบริการเฉลี่ยต่อเดือน]]*3%,0)</f>
        <v>0</v>
      </c>
      <c r="M55" s="585">
        <f>Table1351452010[[#This Row],[ค่าบริการเฉลี่ยต่อเดือน]]-Table1351452010[[#This Row],[มูลค่าหัก 3%]]</f>
        <v>0</v>
      </c>
      <c r="N55" s="586">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O55" s="840">
        <f>Table1351452010[[#This Row],[ระยะเวลาสัญญา
(เดือน)]]/$O$5</f>
        <v>0</v>
      </c>
      <c r="P55" s="841"/>
      <c r="Q55" s="842"/>
      <c r="R55" s="843"/>
      <c r="S55" s="843"/>
      <c r="T55" s="844"/>
      <c r="U55" s="679"/>
      <c r="V55" s="648"/>
      <c r="W55" s="649">
        <f>IF(Table1351452010[[#This Row],[หัก ณ ที่จ่าย
(ค่าติตั้ง)]]="มี",Table1351452010[[#This Row],[ค่าเชื่อมสัญญาณ/
ค่าติดตั้ง/
ค่าขายอุปกรณ์]]*$W$4,0)</f>
        <v>0</v>
      </c>
      <c r="X55" s="738">
        <f>Table1351452010[[#This Row],[ค่าเชื่อมสัญญาณ/
ค่าติดตั้ง/
ค่าขายอุปกรณ์]]-Table1351452010[[#This Row],[มูลค่าหัก 3%
(ค่าติดตั้ง)]]</f>
        <v>0</v>
      </c>
      <c r="Y55" s="739"/>
      <c r="Z55" s="723">
        <f>Table1351452010[[#This Row],[ค่าเชื่อมสัญญาณ/
ค่าติดตั้ง/
ค่าขายอุปกรณ์
(เรียกเก็บสุทธิ)]]-Table1351452010[[#This Row],[ต้นทุน]]</f>
        <v>0</v>
      </c>
      <c r="AA55" s="587" t="str">
        <f>IF(Table1351452010[[#This Row],[ส่วนต่างกำไร]]&lt;(Table1351452010[[#This Row],[ต้นทุน]]*5%),Table1351452010[[#This Row],[ค่าเชื่อมสัญญาณ/
ค่าติดตั้ง/
ค่าขายอุปกรณ์
(เรียกเก็บสุทธิ)]]*$AA$4,"0")</f>
        <v>0</v>
      </c>
      <c r="AB55" s="587">
        <f>IF(Table1351452010[[#This Row],[ส่วนต่างกำไร]]&gt;=(Table1351452010[[#This Row],[ต้นทุน]]*5%),Table1351452010[[#This Row],[ค่าเชื่อมสัญญาณ/
ค่าติดตั้ง/
ค่าขายอุปกรณ์
(เรียกเก็บสุทธิ)]]*$AB$4,"0")</f>
        <v>0</v>
      </c>
      <c r="AC55" s="668">
        <f>SUM(Table1351452010[[#This Row],[คอมฯ
 5%]:[คอมฯ
10%]])</f>
        <v>0</v>
      </c>
      <c r="AD55" s="681"/>
      <c r="AE55" s="648"/>
      <c r="AF55" s="672">
        <f>IF(Table1351452010[[#This Row],[หัก ณ ที่จ่าย
(ค่าเชื่อมสัญญาณ)]]="มี",Table1351452010[[#This Row],[ค่าเชื่อมสัญญาณ]]*$AF$4,0)</f>
        <v>0</v>
      </c>
      <c r="AG55" s="398">
        <f>Table1351452010[[#This Row],[ค่าเชื่อมสัญญาณ]]-Table1351452010[[#This Row],[มูลค่าหัก 3%
(ค่าเชื่อมสัญญาณ)]]</f>
        <v>0</v>
      </c>
      <c r="AH55" s="403">
        <f>Table1351452010[[#This Row],[ค่าเชื่อมสัญญาณ
(เรียกเก็บสุทธิ)]]*$AH$4</f>
        <v>0</v>
      </c>
      <c r="AI55" s="588">
        <f>Table1351452010[[#This Row],[Total
รายการเบิก
คอมขาย
(1)]]+Table1351452010[[#This Row],[Total
ค่าเชื่มสัญญาณ/ค่าติดตั้ง/
ค่าขายอุปกรณ์
(2)]]+Table1351452010[[#This Row],[Total 
คอมฯค่าเชื่อมสัญญาณ
(3)]]</f>
        <v>0</v>
      </c>
      <c r="AJ55" s="589"/>
      <c r="AK55" s="589"/>
      <c r="AL55" s="590"/>
      <c r="AM55" s="549"/>
    </row>
    <row r="56" spans="1:40" s="621" customFormat="1" ht="27" hidden="1" customHeight="1">
      <c r="A56" s="591">
        <v>22.678571428571502</v>
      </c>
      <c r="B56" s="592"/>
      <c r="C56" s="593"/>
      <c r="D56" s="594"/>
      <c r="E56" s="594"/>
      <c r="F56" s="595"/>
      <c r="G56" s="622"/>
      <c r="H56" s="728"/>
      <c r="I56" s="596"/>
      <c r="J56" s="594"/>
      <c r="K56" s="597"/>
      <c r="L56" s="597"/>
      <c r="M56" s="598"/>
      <c r="N56" s="599"/>
      <c r="O56" s="600"/>
      <c r="P56" s="759"/>
      <c r="Q56" s="762"/>
      <c r="R56" s="757"/>
      <c r="S56" s="757"/>
      <c r="T56" s="753"/>
      <c r="U56" s="392"/>
      <c r="V56" s="410"/>
      <c r="W56" s="412"/>
      <c r="X56" s="390"/>
      <c r="Y56" s="393"/>
      <c r="Z56" s="724" t="e">
        <f t="shared" ref="Z56" si="12">Z55/Y55</f>
        <v>#DIV/0!</v>
      </c>
      <c r="AA56" s="642"/>
      <c r="AB56" s="642"/>
      <c r="AC56" s="669"/>
      <c r="AD56" s="407"/>
      <c r="AE56" s="410"/>
      <c r="AF56" s="410"/>
      <c r="AG56" s="394"/>
      <c r="AH56" s="404"/>
      <c r="AI56" s="601"/>
      <c r="AJ56" s="602"/>
      <c r="AK56" s="602"/>
      <c r="AL56" s="603"/>
      <c r="AM56" s="549"/>
    </row>
    <row r="57" spans="1:40" s="621" customFormat="1" ht="27" hidden="1" customHeight="1">
      <c r="A57" s="591">
        <v>23.8857142857143</v>
      </c>
      <c r="B57" s="591"/>
      <c r="C57" s="604"/>
      <c r="D57" s="605"/>
      <c r="E57" s="605"/>
      <c r="F57" s="595"/>
      <c r="G57" s="622"/>
      <c r="H57" s="728"/>
      <c r="I57" s="596"/>
      <c r="J57" s="594"/>
      <c r="K57" s="597"/>
      <c r="L57" s="597"/>
      <c r="M57" s="594"/>
      <c r="N57" s="606"/>
      <c r="O57" s="607"/>
      <c r="P57" s="760"/>
      <c r="Q57" s="763"/>
      <c r="R57" s="758"/>
      <c r="S57" s="758"/>
      <c r="T57" s="754"/>
      <c r="U57" s="392"/>
      <c r="V57" s="410"/>
      <c r="W57" s="412"/>
      <c r="X57" s="390"/>
      <c r="Y57" s="393"/>
      <c r="Z57" s="393"/>
      <c r="AA57" s="642"/>
      <c r="AB57" s="642"/>
      <c r="AC57" s="670"/>
      <c r="AD57" s="408"/>
      <c r="AE57" s="410"/>
      <c r="AF57" s="410"/>
      <c r="AG57" s="394"/>
      <c r="AH57" s="404"/>
      <c r="AI57" s="601"/>
      <c r="AJ57" s="602"/>
      <c r="AK57" s="602"/>
      <c r="AL57" s="603"/>
      <c r="AM57" s="549"/>
    </row>
    <row r="58" spans="1:40" s="621" customFormat="1" ht="27" hidden="1" customHeight="1" thickBot="1">
      <c r="A58" s="608">
        <v>25.092857142857198</v>
      </c>
      <c r="B58" s="608"/>
      <c r="C58" s="609"/>
      <c r="D58" s="610"/>
      <c r="E58" s="610"/>
      <c r="F58" s="611"/>
      <c r="G58" s="612"/>
      <c r="H58" s="729"/>
      <c r="I58" s="613"/>
      <c r="J58" s="614"/>
      <c r="K58" s="615"/>
      <c r="L58" s="615"/>
      <c r="M58" s="614"/>
      <c r="N58" s="616"/>
      <c r="O58" s="617"/>
      <c r="P58" s="761"/>
      <c r="Q58" s="764"/>
      <c r="R58" s="765"/>
      <c r="S58" s="765"/>
      <c r="T58" s="766"/>
      <c r="U58" s="395"/>
      <c r="V58" s="411"/>
      <c r="W58" s="413"/>
      <c r="X58" s="741"/>
      <c r="Y58" s="725"/>
      <c r="Z58" s="725"/>
      <c r="AA58" s="643"/>
      <c r="AB58" s="643"/>
      <c r="AC58" s="671"/>
      <c r="AD58" s="409"/>
      <c r="AE58" s="411"/>
      <c r="AF58" s="411"/>
      <c r="AG58" s="396"/>
      <c r="AH58" s="405"/>
      <c r="AI58" s="618"/>
      <c r="AJ58" s="619"/>
      <c r="AK58" s="619"/>
      <c r="AL58" s="620"/>
      <c r="AM58" s="751"/>
    </row>
    <row r="59" spans="1:40" s="625" customFormat="1" ht="28.5" customHeight="1" thickBot="1">
      <c r="A59" s="661"/>
      <c r="B59" s="661"/>
      <c r="C59" s="662" t="s">
        <v>5</v>
      </c>
      <c r="D59" s="662"/>
      <c r="E59" s="662"/>
      <c r="F59" s="662"/>
      <c r="G59" s="663"/>
      <c r="H59" s="730"/>
      <c r="I59" s="663"/>
      <c r="J59" s="623"/>
      <c r="K59" s="664"/>
      <c r="L59" s="665">
        <f>SUM(L7:L58)</f>
        <v>1092.03</v>
      </c>
      <c r="M59" s="623">
        <f>SUM(M7:M58)</f>
        <v>43308.97</v>
      </c>
      <c r="N59" s="623">
        <f>SUM(N7:N58)</f>
        <v>33064.33</v>
      </c>
      <c r="O59" s="666"/>
      <c r="P59" s="666"/>
      <c r="Q59" s="666"/>
      <c r="R59" s="666"/>
      <c r="S59" s="666"/>
      <c r="T59" s="666"/>
      <c r="U59" s="406">
        <f>SUM(U7:U58)</f>
        <v>82500</v>
      </c>
      <c r="V59" s="667"/>
      <c r="W59" s="406">
        <f>SUM(W7:W58)</f>
        <v>2475</v>
      </c>
      <c r="X59" s="406">
        <f>SUM(X7:X58)</f>
        <v>80025</v>
      </c>
      <c r="Y59" s="406">
        <f>SUM(Y7:Y58)</f>
        <v>248308</v>
      </c>
      <c r="Z59" s="406">
        <f>Z7+Z11+Z15+Z19+Z23+Z27+Z31+Z35+Z39+Z43+Z47+Z51+Z55</f>
        <v>-168283</v>
      </c>
      <c r="AA59" s="623">
        <f>SUM(AA7:AA58)</f>
        <v>606.25</v>
      </c>
      <c r="AB59" s="623">
        <f>SUM(AB7:AB58)</f>
        <v>6790</v>
      </c>
      <c r="AC59" s="623">
        <f>SUM(AC7:AC58)</f>
        <v>7396.25</v>
      </c>
      <c r="AD59" s="406"/>
      <c r="AE59" s="667"/>
      <c r="AF59" s="667"/>
      <c r="AG59" s="406">
        <f t="shared" ref="AG59:AL59" si="13">SUM(AG7:AG58)</f>
        <v>0</v>
      </c>
      <c r="AH59" s="406">
        <f t="shared" si="13"/>
        <v>0</v>
      </c>
      <c r="AI59" s="624">
        <f>SUM(AI7:AI58)</f>
        <v>38876.58</v>
      </c>
      <c r="AJ59" s="686">
        <f t="shared" si="13"/>
        <v>0</v>
      </c>
      <c r="AK59" s="686">
        <f t="shared" si="13"/>
        <v>0</v>
      </c>
      <c r="AL59" s="686">
        <f t="shared" si="13"/>
        <v>0</v>
      </c>
    </row>
    <row r="60" spans="1:40" s="625" customFormat="1" ht="28.5" customHeight="1" thickTop="1">
      <c r="A60" s="557"/>
      <c r="B60" s="557"/>
      <c r="C60" s="558"/>
      <c r="D60" s="558"/>
      <c r="E60" s="558"/>
      <c r="F60" s="558"/>
      <c r="G60" s="691"/>
      <c r="H60" s="731"/>
      <c r="I60" s="691"/>
      <c r="J60" s="692"/>
      <c r="K60" s="693"/>
      <c r="L60" s="694"/>
      <c r="M60" s="692"/>
      <c r="N60" s="692"/>
      <c r="O60" s="695"/>
      <c r="P60" s="695"/>
      <c r="Q60" s="695"/>
      <c r="R60" s="695"/>
      <c r="S60" s="695"/>
      <c r="T60" s="695"/>
      <c r="U60" s="696"/>
      <c r="V60" s="697"/>
      <c r="W60" s="696"/>
      <c r="X60" s="696"/>
      <c r="Y60" s="696"/>
      <c r="Z60" s="696"/>
      <c r="AA60" s="692"/>
      <c r="AB60" s="692"/>
      <c r="AC60" s="692"/>
      <c r="AD60" s="696"/>
      <c r="AE60" s="697"/>
      <c r="AF60" s="697"/>
      <c r="AG60" s="696"/>
      <c r="AH60" s="696"/>
      <c r="AI60" s="692"/>
      <c r="AJ60" s="692"/>
      <c r="AK60" s="692"/>
      <c r="AL60" s="692"/>
      <c r="AM60" s="557"/>
      <c r="AN60" s="557"/>
    </row>
    <row r="61" spans="1:40" ht="25.2" customHeight="1">
      <c r="C61" s="698" t="s">
        <v>218</v>
      </c>
      <c r="AD61" s="703"/>
      <c r="AI61" s="633"/>
      <c r="AJ61" s="634"/>
      <c r="AK61" s="634"/>
      <c r="AL61" s="635"/>
    </row>
    <row r="62" spans="1:40" s="704" customFormat="1" ht="37.799999999999997" customHeight="1">
      <c r="C62" s="705" t="s">
        <v>216</v>
      </c>
      <c r="D62" s="706">
        <v>148580</v>
      </c>
      <c r="E62" s="707"/>
      <c r="F62" s="708"/>
      <c r="G62" s="709"/>
      <c r="H62" s="733"/>
      <c r="I62" s="708"/>
      <c r="J62" s="707"/>
      <c r="K62" s="710"/>
      <c r="L62" s="710"/>
      <c r="M62" s="707"/>
      <c r="N62" s="711"/>
      <c r="O62" s="712"/>
      <c r="P62" s="712"/>
      <c r="Q62" s="712"/>
      <c r="R62" s="712"/>
      <c r="S62" s="712"/>
      <c r="T62" s="712"/>
      <c r="U62" s="713"/>
      <c r="V62" s="714"/>
      <c r="W62" s="714"/>
      <c r="X62" s="713"/>
      <c r="Y62" s="713"/>
      <c r="Z62" s="714"/>
      <c r="AA62" s="715"/>
      <c r="AB62" s="715"/>
      <c r="AC62" s="711"/>
      <c r="AD62" s="716"/>
      <c r="AE62" s="717"/>
      <c r="AF62" s="717"/>
      <c r="AG62" s="718"/>
      <c r="AH62" s="719"/>
      <c r="AI62" s="720"/>
      <c r="AJ62" s="715"/>
      <c r="AK62" s="715"/>
      <c r="AL62" s="721"/>
      <c r="AM62" s="722"/>
    </row>
    <row r="63" spans="1:40" ht="17.399999999999999">
      <c r="C63" s="700" t="s">
        <v>217</v>
      </c>
      <c r="D63" s="701">
        <v>5000</v>
      </c>
      <c r="E63" s="637"/>
    </row>
    <row r="64" spans="1:40" ht="17.399999999999999">
      <c r="D64" s="702">
        <f>SUM(D62:D63)</f>
        <v>153580</v>
      </c>
    </row>
  </sheetData>
  <sheetProtection formatCells="0" insertRows="0" insertHyperlinks="0" deleteRows="0" sort="0" autoFilter="0" pivotTables="0"/>
  <mergeCells count="4">
    <mergeCell ref="AD5:AH5"/>
    <mergeCell ref="U5:AC5"/>
    <mergeCell ref="A1:M1"/>
    <mergeCell ref="AO8:AR8"/>
  </mergeCells>
  <phoneticPr fontId="20" type="noConversion"/>
  <dataValidations count="3">
    <dataValidation type="list" allowBlank="1" showInputMessage="1" showErrorMessage="1" sqref="WMS983062 JY2 TU2 ADQ2 ANM2 AXI2 BHE2 BRA2 CAW2 CKS2 CUO2 DEK2 DOG2 DYC2 EHY2 ERU2 FBQ2 FLM2 FVI2 GFE2 GPA2 GYW2 HIS2 HSO2 ICK2 IMG2 IWC2 JFY2 JPU2 JZQ2 KJM2 KTI2 LDE2 LNA2 LWW2 MGS2 MQO2 NAK2 NKG2 NUC2 ODY2 ONU2 OXQ2 PHM2 PRI2 QBE2 QLA2 QUW2 RES2 ROO2 RYK2 SIG2 SSC2 TBY2 TLU2 TVQ2 UFM2 UPI2 UZE2 VJA2 VSW2 WCS2 WMO2 QVA983062 KC65558 TY65558 ADU65558 ANQ65558 AXM65558 BHI65558 BRE65558 CBA65558 CKW65558 CUS65558 DEO65558 DOK65558 DYG65558 EIC65558 ERY65558 FBU65558 FLQ65558 FVM65558 GFI65558 GPE65558 GZA65558 HIW65558 HSS65558 ICO65558 IMK65558 IWG65558 JGC65558 JPY65558 JZU65558 KJQ65558 KTM65558 LDI65558 LNE65558 LXA65558 MGW65558 MQS65558 NAO65558 NKK65558 NUG65558 OEC65558 ONY65558 OXU65558 PHQ65558 PRM65558 QBI65558 QLE65558 QVA65558 REW65558 ROS65558 RYO65558 SIK65558 SSG65558 TCC65558 TLY65558 TVU65558 UFQ65558 UPM65558 UZI65558 VJE65558 VTA65558 WCW65558 WMS65558 REW983062 KC131094 TY131094 ADU131094 ANQ131094 AXM131094 BHI131094 BRE131094 CBA131094 CKW131094 CUS131094 DEO131094 DOK131094 DYG131094 EIC131094 ERY131094 FBU131094 FLQ131094 FVM131094 GFI131094 GPE131094 GZA131094 HIW131094 HSS131094 ICO131094 IMK131094 IWG131094 JGC131094 JPY131094 JZU131094 KJQ131094 KTM131094 LDI131094 LNE131094 LXA131094 MGW131094 MQS131094 NAO131094 NKK131094 NUG131094 OEC131094 ONY131094 OXU131094 PHQ131094 PRM131094 QBI131094 QLE131094 QVA131094 REW131094 ROS131094 RYO131094 SIK131094 SSG131094 TCC131094 TLY131094 TVU131094 UFQ131094 UPM131094 UZI131094 VJE131094 VTA131094 WCW131094 WMS131094 ROS983062 KC196630 TY196630 ADU196630 ANQ196630 AXM196630 BHI196630 BRE196630 CBA196630 CKW196630 CUS196630 DEO196630 DOK196630 DYG196630 EIC196630 ERY196630 FBU196630 FLQ196630 FVM196630 GFI196630 GPE196630 GZA196630 HIW196630 HSS196630 ICO196630 IMK196630 IWG196630 JGC196630 JPY196630 JZU196630 KJQ196630 KTM196630 LDI196630 LNE196630 LXA196630 MGW196630 MQS196630 NAO196630 NKK196630 NUG196630 OEC196630 ONY196630 OXU196630 PHQ196630 PRM196630 QBI196630 QLE196630 QVA196630 REW196630 ROS196630 RYO196630 SIK196630 SSG196630 TCC196630 TLY196630 TVU196630 UFQ196630 UPM196630 UZI196630 VJE196630 VTA196630 WCW196630 WMS196630 RYO983062 KC262166 TY262166 ADU262166 ANQ262166 AXM262166 BHI262166 BRE262166 CBA262166 CKW262166 CUS262166 DEO262166 DOK262166 DYG262166 EIC262166 ERY262166 FBU262166 FLQ262166 FVM262166 GFI262166 GPE262166 GZA262166 HIW262166 HSS262166 ICO262166 IMK262166 IWG262166 JGC262166 JPY262166 JZU262166 KJQ262166 KTM262166 LDI262166 LNE262166 LXA262166 MGW262166 MQS262166 NAO262166 NKK262166 NUG262166 OEC262166 ONY262166 OXU262166 PHQ262166 PRM262166 QBI262166 QLE262166 QVA262166 REW262166 ROS262166 RYO262166 SIK262166 SSG262166 TCC262166 TLY262166 TVU262166 UFQ262166 UPM262166 UZI262166 VJE262166 VTA262166 WCW262166 WMS262166 SIK983062 KC327702 TY327702 ADU327702 ANQ327702 AXM327702 BHI327702 BRE327702 CBA327702 CKW327702 CUS327702 DEO327702 DOK327702 DYG327702 EIC327702 ERY327702 FBU327702 FLQ327702 FVM327702 GFI327702 GPE327702 GZA327702 HIW327702 HSS327702 ICO327702 IMK327702 IWG327702 JGC327702 JPY327702 JZU327702 KJQ327702 KTM327702 LDI327702 LNE327702 LXA327702 MGW327702 MQS327702 NAO327702 NKK327702 NUG327702 OEC327702 ONY327702 OXU327702 PHQ327702 PRM327702 QBI327702 QLE327702 QVA327702 REW327702 ROS327702 RYO327702 SIK327702 SSG327702 TCC327702 TLY327702 TVU327702 UFQ327702 UPM327702 UZI327702 VJE327702 VTA327702 WCW327702 WMS327702 SSG983062 KC393238 TY393238 ADU393238 ANQ393238 AXM393238 BHI393238 BRE393238 CBA393238 CKW393238 CUS393238 DEO393238 DOK393238 DYG393238 EIC393238 ERY393238 FBU393238 FLQ393238 FVM393238 GFI393238 GPE393238 GZA393238 HIW393238 HSS393238 ICO393238 IMK393238 IWG393238 JGC393238 JPY393238 JZU393238 KJQ393238 KTM393238 LDI393238 LNE393238 LXA393238 MGW393238 MQS393238 NAO393238 NKK393238 NUG393238 OEC393238 ONY393238 OXU393238 PHQ393238 PRM393238 QBI393238 QLE393238 QVA393238 REW393238 ROS393238 RYO393238 SIK393238 SSG393238 TCC393238 TLY393238 TVU393238 UFQ393238 UPM393238 UZI393238 VJE393238 VTA393238 WCW393238 WMS393238 TCC983062 KC458774 TY458774 ADU458774 ANQ458774 AXM458774 BHI458774 BRE458774 CBA458774 CKW458774 CUS458774 DEO458774 DOK458774 DYG458774 EIC458774 ERY458774 FBU458774 FLQ458774 FVM458774 GFI458774 GPE458774 GZA458774 HIW458774 HSS458774 ICO458774 IMK458774 IWG458774 JGC458774 JPY458774 JZU458774 KJQ458774 KTM458774 LDI458774 LNE458774 LXA458774 MGW458774 MQS458774 NAO458774 NKK458774 NUG458774 OEC458774 ONY458774 OXU458774 PHQ458774 PRM458774 QBI458774 QLE458774 QVA458774 REW458774 ROS458774 RYO458774 SIK458774 SSG458774 TCC458774 TLY458774 TVU458774 UFQ458774 UPM458774 UZI458774 VJE458774 VTA458774 WCW458774 WMS458774 TLY983062 KC524310 TY524310 ADU524310 ANQ524310 AXM524310 BHI524310 BRE524310 CBA524310 CKW524310 CUS524310 DEO524310 DOK524310 DYG524310 EIC524310 ERY524310 FBU524310 FLQ524310 FVM524310 GFI524310 GPE524310 GZA524310 HIW524310 HSS524310 ICO524310 IMK524310 IWG524310 JGC524310 JPY524310 JZU524310 KJQ524310 KTM524310 LDI524310 LNE524310 LXA524310 MGW524310 MQS524310 NAO524310 NKK524310 NUG524310 OEC524310 ONY524310 OXU524310 PHQ524310 PRM524310 QBI524310 QLE524310 QVA524310 REW524310 ROS524310 RYO524310 SIK524310 SSG524310 TCC524310 TLY524310 TVU524310 UFQ524310 UPM524310 UZI524310 VJE524310 VTA524310 WCW524310 WMS524310 TVU983062 KC589846 TY589846 ADU589846 ANQ589846 AXM589846 BHI589846 BRE589846 CBA589846 CKW589846 CUS589846 DEO589846 DOK589846 DYG589846 EIC589846 ERY589846 FBU589846 FLQ589846 FVM589846 GFI589846 GPE589846 GZA589846 HIW589846 HSS589846 ICO589846 IMK589846 IWG589846 JGC589846 JPY589846 JZU589846 KJQ589846 KTM589846 LDI589846 LNE589846 LXA589846 MGW589846 MQS589846 NAO589846 NKK589846 NUG589846 OEC589846 ONY589846 OXU589846 PHQ589846 PRM589846 QBI589846 QLE589846 QVA589846 REW589846 ROS589846 RYO589846 SIK589846 SSG589846 TCC589846 TLY589846 TVU589846 UFQ589846 UPM589846 UZI589846 VJE589846 VTA589846 WCW589846 WMS589846 UFQ983062 KC655382 TY655382 ADU655382 ANQ655382 AXM655382 BHI655382 BRE655382 CBA655382 CKW655382 CUS655382 DEO655382 DOK655382 DYG655382 EIC655382 ERY655382 FBU655382 FLQ655382 FVM655382 GFI655382 GPE655382 GZA655382 HIW655382 HSS655382 ICO655382 IMK655382 IWG655382 JGC655382 JPY655382 JZU655382 KJQ655382 KTM655382 LDI655382 LNE655382 LXA655382 MGW655382 MQS655382 NAO655382 NKK655382 NUG655382 OEC655382 ONY655382 OXU655382 PHQ655382 PRM655382 QBI655382 QLE655382 QVA655382 REW655382 ROS655382 RYO655382 SIK655382 SSG655382 TCC655382 TLY655382 TVU655382 UFQ655382 UPM655382 UZI655382 VJE655382 VTA655382 WCW655382 WMS655382 UPM983062 KC720918 TY720918 ADU720918 ANQ720918 AXM720918 BHI720918 BRE720918 CBA720918 CKW720918 CUS720918 DEO720918 DOK720918 DYG720918 EIC720918 ERY720918 FBU720918 FLQ720918 FVM720918 GFI720918 GPE720918 GZA720918 HIW720918 HSS720918 ICO720918 IMK720918 IWG720918 JGC720918 JPY720918 JZU720918 KJQ720918 KTM720918 LDI720918 LNE720918 LXA720918 MGW720918 MQS720918 NAO720918 NKK720918 NUG720918 OEC720918 ONY720918 OXU720918 PHQ720918 PRM720918 QBI720918 QLE720918 QVA720918 REW720918 ROS720918 RYO720918 SIK720918 SSG720918 TCC720918 TLY720918 TVU720918 UFQ720918 UPM720918 UZI720918 VJE720918 VTA720918 WCW720918 WMS720918 UZI983062 KC786454 TY786454 ADU786454 ANQ786454 AXM786454 BHI786454 BRE786454 CBA786454 CKW786454 CUS786454 DEO786454 DOK786454 DYG786454 EIC786454 ERY786454 FBU786454 FLQ786454 FVM786454 GFI786454 GPE786454 GZA786454 HIW786454 HSS786454 ICO786454 IMK786454 IWG786454 JGC786454 JPY786454 JZU786454 KJQ786454 KTM786454 LDI786454 LNE786454 LXA786454 MGW786454 MQS786454 NAO786454 NKK786454 NUG786454 OEC786454 ONY786454 OXU786454 PHQ786454 PRM786454 QBI786454 QLE786454 QVA786454 REW786454 ROS786454 RYO786454 SIK786454 SSG786454 TCC786454 TLY786454 TVU786454 UFQ786454 UPM786454 UZI786454 VJE786454 VTA786454 WCW786454 WMS786454 VJE983062 KC851990 TY851990 ADU851990 ANQ851990 AXM851990 BHI851990 BRE851990 CBA851990 CKW851990 CUS851990 DEO851990 DOK851990 DYG851990 EIC851990 ERY851990 FBU851990 FLQ851990 FVM851990 GFI851990 GPE851990 GZA851990 HIW851990 HSS851990 ICO851990 IMK851990 IWG851990 JGC851990 JPY851990 JZU851990 KJQ851990 KTM851990 LDI851990 LNE851990 LXA851990 MGW851990 MQS851990 NAO851990 NKK851990 NUG851990 OEC851990 ONY851990 OXU851990 PHQ851990 PRM851990 QBI851990 QLE851990 QVA851990 REW851990 ROS851990 RYO851990 SIK851990 SSG851990 TCC851990 TLY851990 TVU851990 UFQ851990 UPM851990 UZI851990 VJE851990 VTA851990 WCW851990 WMS851990 VTA983062 KC917526 TY917526 ADU917526 ANQ917526 AXM917526 BHI917526 BRE917526 CBA917526 CKW917526 CUS917526 DEO917526 DOK917526 DYG917526 EIC917526 ERY917526 FBU917526 FLQ917526 FVM917526 GFI917526 GPE917526 GZA917526 HIW917526 HSS917526 ICO917526 IMK917526 IWG917526 JGC917526 JPY917526 JZU917526 KJQ917526 KTM917526 LDI917526 LNE917526 LXA917526 MGW917526 MQS917526 NAO917526 NKK917526 NUG917526 OEC917526 ONY917526 OXU917526 PHQ917526 PRM917526 QBI917526 QLE917526 QVA917526 REW917526 ROS917526 RYO917526 SIK917526 SSG917526 TCC917526 TLY917526 TVU917526 UFQ917526 UPM917526 UZI917526 VJE917526 VTA917526 WCW917526 WMS917526 WCW983062 KC983062 TY983062 ADU983062 ANQ983062 AXM983062 BHI983062 BRE983062 CBA983062 CKW983062 CUS983062 DEO983062 DOK983062 DYG983062 EIC983062 ERY983062 FBU983062 FLQ983062 FVM983062 GFI983062 GPE983062 GZA983062 HIW983062 HSS983062 ICO983062 IMK983062 IWG983062 JGC983062 JPY983062 JZU983062 KJQ983062 KTM983062 LDI983062 LNE983062 LXA983062 MGW983062 MQS983062 NAO983062 NKK983062 NUG983062 OEC983062 ONY983062 OXU983062 PHQ983062 PRM983062 QBI983062 QLE983062 A65558:B65558 A131094:B131094 A196630:B196630 A262166:B262166 A327702:B327702 A393238:B393238 A458774:B458774 A524310:B524310 A589846:B589846 A655382:B655382 A720918:B720918 A786454:B786454 A851990:B851990 A917526:B917526 A983062:B98306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K983066:WNK983095 AY65562:AY65591 KU65562:KU65591 UQ65562:UQ65591 AEM65562:AEM65591 AOI65562:AOI65591 AYE65562:AYE65591 BIA65562:BIA65591 BRW65562:BRW65591 CBS65562:CBS65591 CLO65562:CLO65591 CVK65562:CVK65591 DFG65562:DFG65591 DPC65562:DPC65591 DYY65562:DYY65591 EIU65562:EIU65591 ESQ65562:ESQ65591 FCM65562:FCM65591 FMI65562:FMI65591 FWE65562:FWE65591 GGA65562:GGA65591 GPW65562:GPW65591 GZS65562:GZS65591 HJO65562:HJO65591 HTK65562:HTK65591 IDG65562:IDG65591 INC65562:INC65591 IWY65562:IWY65591 JGU65562:JGU65591 JQQ65562:JQQ65591 KAM65562:KAM65591 KKI65562:KKI65591 KUE65562:KUE65591 LEA65562:LEA65591 LNW65562:LNW65591 LXS65562:LXS65591 MHO65562:MHO65591 MRK65562:MRK65591 NBG65562:NBG65591 NLC65562:NLC65591 NUY65562:NUY65591 OEU65562:OEU65591 OOQ65562:OOQ65591 OYM65562:OYM65591 PII65562:PII65591 PSE65562:PSE65591 QCA65562:QCA65591 QLW65562:QLW65591 QVS65562:QVS65591 RFO65562:RFO65591 RPK65562:RPK65591 RZG65562:RZG65591 SJC65562:SJC65591 SSY65562:SSY65591 TCU65562:TCU65591 TMQ65562:TMQ65591 TWM65562:TWM65591 UGI65562:UGI65591 UQE65562:UQE65591 VAA65562:VAA65591 VJW65562:VJW65591 VTS65562:VTS65591 WDO65562:WDO65591 WNK65562:WNK65591 AY131098:AY131127 KU131098:KU131127 UQ131098:UQ131127 AEM131098:AEM131127 AOI131098:AOI131127 AYE131098:AYE131127 BIA131098:BIA131127 BRW131098:BRW131127 CBS131098:CBS131127 CLO131098:CLO131127 CVK131098:CVK131127 DFG131098:DFG131127 DPC131098:DPC131127 DYY131098:DYY131127 EIU131098:EIU131127 ESQ131098:ESQ131127 FCM131098:FCM131127 FMI131098:FMI131127 FWE131098:FWE131127 GGA131098:GGA131127 GPW131098:GPW131127 GZS131098:GZS131127 HJO131098:HJO131127 HTK131098:HTK131127 IDG131098:IDG131127 INC131098:INC131127 IWY131098:IWY131127 JGU131098:JGU131127 JQQ131098:JQQ131127 KAM131098:KAM131127 KKI131098:KKI131127 KUE131098:KUE131127 LEA131098:LEA131127 LNW131098:LNW131127 LXS131098:LXS131127 MHO131098:MHO131127 MRK131098:MRK131127 NBG131098:NBG131127 NLC131098:NLC131127 NUY131098:NUY131127 OEU131098:OEU131127 OOQ131098:OOQ131127 OYM131098:OYM131127 PII131098:PII131127 PSE131098:PSE131127 QCA131098:QCA131127 QLW131098:QLW131127 QVS131098:QVS131127 RFO131098:RFO131127 RPK131098:RPK131127 RZG131098:RZG131127 SJC131098:SJC131127 SSY131098:SSY131127 TCU131098:TCU131127 TMQ131098:TMQ131127 TWM131098:TWM131127 UGI131098:UGI131127 UQE131098:UQE131127 VAA131098:VAA131127 VJW131098:VJW131127 VTS131098:VTS131127 WDO131098:WDO131127 WNK131098:WNK131127 AY196634:AY196663 KU196634:KU196663 UQ196634:UQ196663 AEM196634:AEM196663 AOI196634:AOI196663 AYE196634:AYE196663 BIA196634:BIA196663 BRW196634:BRW196663 CBS196634:CBS196663 CLO196634:CLO196663 CVK196634:CVK196663 DFG196634:DFG196663 DPC196634:DPC196663 DYY196634:DYY196663 EIU196634:EIU196663 ESQ196634:ESQ196663 FCM196634:FCM196663 FMI196634:FMI196663 FWE196634:FWE196663 GGA196634:GGA196663 GPW196634:GPW196663 GZS196634:GZS196663 HJO196634:HJO196663 HTK196634:HTK196663 IDG196634:IDG196663 INC196634:INC196663 IWY196634:IWY196663 JGU196634:JGU196663 JQQ196634:JQQ196663 KAM196634:KAM196663 KKI196634:KKI196663 KUE196634:KUE196663 LEA196634:LEA196663 LNW196634:LNW196663 LXS196634:LXS196663 MHO196634:MHO196663 MRK196634:MRK196663 NBG196634:NBG196663 NLC196634:NLC196663 NUY196634:NUY196663 OEU196634:OEU196663 OOQ196634:OOQ196663 OYM196634:OYM196663 PII196634:PII196663 PSE196634:PSE196663 QCA196634:QCA196663 QLW196634:QLW196663 QVS196634:QVS196663 RFO196634:RFO196663 RPK196634:RPK196663 RZG196634:RZG196663 SJC196634:SJC196663 SSY196634:SSY196663 TCU196634:TCU196663 TMQ196634:TMQ196663 TWM196634:TWM196663 UGI196634:UGI196663 UQE196634:UQE196663 VAA196634:VAA196663 VJW196634:VJW196663 VTS196634:VTS196663 WDO196634:WDO196663 WNK196634:WNK196663 AY262170:AY262199 KU262170:KU262199 UQ262170:UQ262199 AEM262170:AEM262199 AOI262170:AOI262199 AYE262170:AYE262199 BIA262170:BIA262199 BRW262170:BRW262199 CBS262170:CBS262199 CLO262170:CLO262199 CVK262170:CVK262199 DFG262170:DFG262199 DPC262170:DPC262199 DYY262170:DYY262199 EIU262170:EIU262199 ESQ262170:ESQ262199 FCM262170:FCM262199 FMI262170:FMI262199 FWE262170:FWE262199 GGA262170:GGA262199 GPW262170:GPW262199 GZS262170:GZS262199 HJO262170:HJO262199 HTK262170:HTK262199 IDG262170:IDG262199 INC262170:INC262199 IWY262170:IWY262199 JGU262170:JGU262199 JQQ262170:JQQ262199 KAM262170:KAM262199 KKI262170:KKI262199 KUE262170:KUE262199 LEA262170:LEA262199 LNW262170:LNW262199 LXS262170:LXS262199 MHO262170:MHO262199 MRK262170:MRK262199 NBG262170:NBG262199 NLC262170:NLC262199 NUY262170:NUY262199 OEU262170:OEU262199 OOQ262170:OOQ262199 OYM262170:OYM262199 PII262170:PII262199 PSE262170:PSE262199 QCA262170:QCA262199 QLW262170:QLW262199 QVS262170:QVS262199 RFO262170:RFO262199 RPK262170:RPK262199 RZG262170:RZG262199 SJC262170:SJC262199 SSY262170:SSY262199 TCU262170:TCU262199 TMQ262170:TMQ262199 TWM262170:TWM262199 UGI262170:UGI262199 UQE262170:UQE262199 VAA262170:VAA262199 VJW262170:VJW262199 VTS262170:VTS262199 WDO262170:WDO262199 WNK262170:WNK262199 AY327706:AY327735 KU327706:KU327735 UQ327706:UQ327735 AEM327706:AEM327735 AOI327706:AOI327735 AYE327706:AYE327735 BIA327706:BIA327735 BRW327706:BRW327735 CBS327706:CBS327735 CLO327706:CLO327735 CVK327706:CVK327735 DFG327706:DFG327735 DPC327706:DPC327735 DYY327706:DYY327735 EIU327706:EIU327735 ESQ327706:ESQ327735 FCM327706:FCM327735 FMI327706:FMI327735 FWE327706:FWE327735 GGA327706:GGA327735 GPW327706:GPW327735 GZS327706:GZS327735 HJO327706:HJO327735 HTK327706:HTK327735 IDG327706:IDG327735 INC327706:INC327735 IWY327706:IWY327735 JGU327706:JGU327735 JQQ327706:JQQ327735 KAM327706:KAM327735 KKI327706:KKI327735 KUE327706:KUE327735 LEA327706:LEA327735 LNW327706:LNW327735 LXS327706:LXS327735 MHO327706:MHO327735 MRK327706:MRK327735 NBG327706:NBG327735 NLC327706:NLC327735 NUY327706:NUY327735 OEU327706:OEU327735 OOQ327706:OOQ327735 OYM327706:OYM327735 PII327706:PII327735 PSE327706:PSE327735 QCA327706:QCA327735 QLW327706:QLW327735 QVS327706:QVS327735 RFO327706:RFO327735 RPK327706:RPK327735 RZG327706:RZG327735 SJC327706:SJC327735 SSY327706:SSY327735 TCU327706:TCU327735 TMQ327706:TMQ327735 TWM327706:TWM327735 UGI327706:UGI327735 UQE327706:UQE327735 VAA327706:VAA327735 VJW327706:VJW327735 VTS327706:VTS327735 WDO327706:WDO327735 WNK327706:WNK327735 AY393242:AY393271 KU393242:KU393271 UQ393242:UQ393271 AEM393242:AEM393271 AOI393242:AOI393271 AYE393242:AYE393271 BIA393242:BIA393271 BRW393242:BRW393271 CBS393242:CBS393271 CLO393242:CLO393271 CVK393242:CVK393271 DFG393242:DFG393271 DPC393242:DPC393271 DYY393242:DYY393271 EIU393242:EIU393271 ESQ393242:ESQ393271 FCM393242:FCM393271 FMI393242:FMI393271 FWE393242:FWE393271 GGA393242:GGA393271 GPW393242:GPW393271 GZS393242:GZS393271 HJO393242:HJO393271 HTK393242:HTK393271 IDG393242:IDG393271 INC393242:INC393271 IWY393242:IWY393271 JGU393242:JGU393271 JQQ393242:JQQ393271 KAM393242:KAM393271 KKI393242:KKI393271 KUE393242:KUE393271 LEA393242:LEA393271 LNW393242:LNW393271 LXS393242:LXS393271 MHO393242:MHO393271 MRK393242:MRK393271 NBG393242:NBG393271 NLC393242:NLC393271 NUY393242:NUY393271 OEU393242:OEU393271 OOQ393242:OOQ393271 OYM393242:OYM393271 PII393242:PII393271 PSE393242:PSE393271 QCA393242:QCA393271 QLW393242:QLW393271 QVS393242:QVS393271 RFO393242:RFO393271 RPK393242:RPK393271 RZG393242:RZG393271 SJC393242:SJC393271 SSY393242:SSY393271 TCU393242:TCU393271 TMQ393242:TMQ393271 TWM393242:TWM393271 UGI393242:UGI393271 UQE393242:UQE393271 VAA393242:VAA393271 VJW393242:VJW393271 VTS393242:VTS393271 WDO393242:WDO393271 WNK393242:WNK393271 AY458778:AY458807 KU458778:KU458807 UQ458778:UQ458807 AEM458778:AEM458807 AOI458778:AOI458807 AYE458778:AYE458807 BIA458778:BIA458807 BRW458778:BRW458807 CBS458778:CBS458807 CLO458778:CLO458807 CVK458778:CVK458807 DFG458778:DFG458807 DPC458778:DPC458807 DYY458778:DYY458807 EIU458778:EIU458807 ESQ458778:ESQ458807 FCM458778:FCM458807 FMI458778:FMI458807 FWE458778:FWE458807 GGA458778:GGA458807 GPW458778:GPW458807 GZS458778:GZS458807 HJO458778:HJO458807 HTK458778:HTK458807 IDG458778:IDG458807 INC458778:INC458807 IWY458778:IWY458807 JGU458778:JGU458807 JQQ458778:JQQ458807 KAM458778:KAM458807 KKI458778:KKI458807 KUE458778:KUE458807 LEA458778:LEA458807 LNW458778:LNW458807 LXS458778:LXS458807 MHO458778:MHO458807 MRK458778:MRK458807 NBG458778:NBG458807 NLC458778:NLC458807 NUY458778:NUY458807 OEU458778:OEU458807 OOQ458778:OOQ458807 OYM458778:OYM458807 PII458778:PII458807 PSE458778:PSE458807 QCA458778:QCA458807 QLW458778:QLW458807 QVS458778:QVS458807 RFO458778:RFO458807 RPK458778:RPK458807 RZG458778:RZG458807 SJC458778:SJC458807 SSY458778:SSY458807 TCU458778:TCU458807 TMQ458778:TMQ458807 TWM458778:TWM458807 UGI458778:UGI458807 UQE458778:UQE458807 VAA458778:VAA458807 VJW458778:VJW458807 VTS458778:VTS458807 WDO458778:WDO458807 WNK458778:WNK458807 AY524314:AY524343 KU524314:KU524343 UQ524314:UQ524343 AEM524314:AEM524343 AOI524314:AOI524343 AYE524314:AYE524343 BIA524314:BIA524343 BRW524314:BRW524343 CBS524314:CBS524343 CLO524314:CLO524343 CVK524314:CVK524343 DFG524314:DFG524343 DPC524314:DPC524343 DYY524314:DYY524343 EIU524314:EIU524343 ESQ524314:ESQ524343 FCM524314:FCM524343 FMI524314:FMI524343 FWE524314:FWE524343 GGA524314:GGA524343 GPW524314:GPW524343 GZS524314:GZS524343 HJO524314:HJO524343 HTK524314:HTK524343 IDG524314:IDG524343 INC524314:INC524343 IWY524314:IWY524343 JGU524314:JGU524343 JQQ524314:JQQ524343 KAM524314:KAM524343 KKI524314:KKI524343 KUE524314:KUE524343 LEA524314:LEA524343 LNW524314:LNW524343 LXS524314:LXS524343 MHO524314:MHO524343 MRK524314:MRK524343 NBG524314:NBG524343 NLC524314:NLC524343 NUY524314:NUY524343 OEU524314:OEU524343 OOQ524314:OOQ524343 OYM524314:OYM524343 PII524314:PII524343 PSE524314:PSE524343 QCA524314:QCA524343 QLW524314:QLW524343 QVS524314:QVS524343 RFO524314:RFO524343 RPK524314:RPK524343 RZG524314:RZG524343 SJC524314:SJC524343 SSY524314:SSY524343 TCU524314:TCU524343 TMQ524314:TMQ524343 TWM524314:TWM524343 UGI524314:UGI524343 UQE524314:UQE524343 VAA524314:VAA524343 VJW524314:VJW524343 VTS524314:VTS524343 WDO524314:WDO524343 WNK524314:WNK524343 AY589850:AY589879 KU589850:KU589879 UQ589850:UQ589879 AEM589850:AEM589879 AOI589850:AOI589879 AYE589850:AYE589879 BIA589850:BIA589879 BRW589850:BRW589879 CBS589850:CBS589879 CLO589850:CLO589879 CVK589850:CVK589879 DFG589850:DFG589879 DPC589850:DPC589879 DYY589850:DYY589879 EIU589850:EIU589879 ESQ589850:ESQ589879 FCM589850:FCM589879 FMI589850:FMI589879 FWE589850:FWE589879 GGA589850:GGA589879 GPW589850:GPW589879 GZS589850:GZS589879 HJO589850:HJO589879 HTK589850:HTK589879 IDG589850:IDG589879 INC589850:INC589879 IWY589850:IWY589879 JGU589850:JGU589879 JQQ589850:JQQ589879 KAM589850:KAM589879 KKI589850:KKI589879 KUE589850:KUE589879 LEA589850:LEA589879 LNW589850:LNW589879 LXS589850:LXS589879 MHO589850:MHO589879 MRK589850:MRK589879 NBG589850:NBG589879 NLC589850:NLC589879 NUY589850:NUY589879 OEU589850:OEU589879 OOQ589850:OOQ589879 OYM589850:OYM589879 PII589850:PII589879 PSE589850:PSE589879 QCA589850:QCA589879 QLW589850:QLW589879 QVS589850:QVS589879 RFO589850:RFO589879 RPK589850:RPK589879 RZG589850:RZG589879 SJC589850:SJC589879 SSY589850:SSY589879 TCU589850:TCU589879 TMQ589850:TMQ589879 TWM589850:TWM589879 UGI589850:UGI589879 UQE589850:UQE589879 VAA589850:VAA589879 VJW589850:VJW589879 VTS589850:VTS589879 WDO589850:WDO589879 WNK589850:WNK589879 AY655386:AY655415 KU655386:KU655415 UQ655386:UQ655415 AEM655386:AEM655415 AOI655386:AOI655415 AYE655386:AYE655415 BIA655386:BIA655415 BRW655386:BRW655415 CBS655386:CBS655415 CLO655386:CLO655415 CVK655386:CVK655415 DFG655386:DFG655415 DPC655386:DPC655415 DYY655386:DYY655415 EIU655386:EIU655415 ESQ655386:ESQ655415 FCM655386:FCM655415 FMI655386:FMI655415 FWE655386:FWE655415 GGA655386:GGA655415 GPW655386:GPW655415 GZS655386:GZS655415 HJO655386:HJO655415 HTK655386:HTK655415 IDG655386:IDG655415 INC655386:INC655415 IWY655386:IWY655415 JGU655386:JGU655415 JQQ655386:JQQ655415 KAM655386:KAM655415 KKI655386:KKI655415 KUE655386:KUE655415 LEA655386:LEA655415 LNW655386:LNW655415 LXS655386:LXS655415 MHO655386:MHO655415 MRK655386:MRK655415 NBG655386:NBG655415 NLC655386:NLC655415 NUY655386:NUY655415 OEU655386:OEU655415 OOQ655386:OOQ655415 OYM655386:OYM655415 PII655386:PII655415 PSE655386:PSE655415 QCA655386:QCA655415 QLW655386:QLW655415 QVS655386:QVS655415 RFO655386:RFO655415 RPK655386:RPK655415 RZG655386:RZG655415 SJC655386:SJC655415 SSY655386:SSY655415 TCU655386:TCU655415 TMQ655386:TMQ655415 TWM655386:TWM655415 UGI655386:UGI655415 UQE655386:UQE655415 VAA655386:VAA655415 VJW655386:VJW655415 VTS655386:VTS655415 WDO655386:WDO655415 WNK655386:WNK655415 AY720922:AY720951 KU720922:KU720951 UQ720922:UQ720951 AEM720922:AEM720951 AOI720922:AOI720951 AYE720922:AYE720951 BIA720922:BIA720951 BRW720922:BRW720951 CBS720922:CBS720951 CLO720922:CLO720951 CVK720922:CVK720951 DFG720922:DFG720951 DPC720922:DPC720951 DYY720922:DYY720951 EIU720922:EIU720951 ESQ720922:ESQ720951 FCM720922:FCM720951 FMI720922:FMI720951 FWE720922:FWE720951 GGA720922:GGA720951 GPW720922:GPW720951 GZS720922:GZS720951 HJO720922:HJO720951 HTK720922:HTK720951 IDG720922:IDG720951 INC720922:INC720951 IWY720922:IWY720951 JGU720922:JGU720951 JQQ720922:JQQ720951 KAM720922:KAM720951 KKI720922:KKI720951 KUE720922:KUE720951 LEA720922:LEA720951 LNW720922:LNW720951 LXS720922:LXS720951 MHO720922:MHO720951 MRK720922:MRK720951 NBG720922:NBG720951 NLC720922:NLC720951 NUY720922:NUY720951 OEU720922:OEU720951 OOQ720922:OOQ720951 OYM720922:OYM720951 PII720922:PII720951 PSE720922:PSE720951 QCA720922:QCA720951 QLW720922:QLW720951 QVS720922:QVS720951 RFO720922:RFO720951 RPK720922:RPK720951 RZG720922:RZG720951 SJC720922:SJC720951 SSY720922:SSY720951 TCU720922:TCU720951 TMQ720922:TMQ720951 TWM720922:TWM720951 UGI720922:UGI720951 UQE720922:UQE720951 VAA720922:VAA720951 VJW720922:VJW720951 VTS720922:VTS720951 WDO720922:WDO720951 WNK720922:WNK720951 AY786458:AY786487 KU786458:KU786487 UQ786458:UQ786487 AEM786458:AEM786487 AOI786458:AOI786487 AYE786458:AYE786487 BIA786458:BIA786487 BRW786458:BRW786487 CBS786458:CBS786487 CLO786458:CLO786487 CVK786458:CVK786487 DFG786458:DFG786487 DPC786458:DPC786487 DYY786458:DYY786487 EIU786458:EIU786487 ESQ786458:ESQ786487 FCM786458:FCM786487 FMI786458:FMI786487 FWE786458:FWE786487 GGA786458:GGA786487 GPW786458:GPW786487 GZS786458:GZS786487 HJO786458:HJO786487 HTK786458:HTK786487 IDG786458:IDG786487 INC786458:INC786487 IWY786458:IWY786487 JGU786458:JGU786487 JQQ786458:JQQ786487 KAM786458:KAM786487 KKI786458:KKI786487 KUE786458:KUE786487 LEA786458:LEA786487 LNW786458:LNW786487 LXS786458:LXS786487 MHO786458:MHO786487 MRK786458:MRK786487 NBG786458:NBG786487 NLC786458:NLC786487 NUY786458:NUY786487 OEU786458:OEU786487 OOQ786458:OOQ786487 OYM786458:OYM786487 PII786458:PII786487 PSE786458:PSE786487 QCA786458:QCA786487 QLW786458:QLW786487 QVS786458:QVS786487 RFO786458:RFO786487 RPK786458:RPK786487 RZG786458:RZG786487 SJC786458:SJC786487 SSY786458:SSY786487 TCU786458:TCU786487 TMQ786458:TMQ786487 TWM786458:TWM786487 UGI786458:UGI786487 UQE786458:UQE786487 VAA786458:VAA786487 VJW786458:VJW786487 VTS786458:VTS786487 WDO786458:WDO786487 WNK786458:WNK786487 AY851994:AY852023 KU851994:KU852023 UQ851994:UQ852023 AEM851994:AEM852023 AOI851994:AOI852023 AYE851994:AYE852023 BIA851994:BIA852023 BRW851994:BRW852023 CBS851994:CBS852023 CLO851994:CLO852023 CVK851994:CVK852023 DFG851994:DFG852023 DPC851994:DPC852023 DYY851994:DYY852023 EIU851994:EIU852023 ESQ851994:ESQ852023 FCM851994:FCM852023 FMI851994:FMI852023 FWE851994:FWE852023 GGA851994:GGA852023 GPW851994:GPW852023 GZS851994:GZS852023 HJO851994:HJO852023 HTK851994:HTK852023 IDG851994:IDG852023 INC851994:INC852023 IWY851994:IWY852023 JGU851994:JGU852023 JQQ851994:JQQ852023 KAM851994:KAM852023 KKI851994:KKI852023 KUE851994:KUE852023 LEA851994:LEA852023 LNW851994:LNW852023 LXS851994:LXS852023 MHO851994:MHO852023 MRK851994:MRK852023 NBG851994:NBG852023 NLC851994:NLC852023 NUY851994:NUY852023 OEU851994:OEU852023 OOQ851994:OOQ852023 OYM851994:OYM852023 PII851994:PII852023 PSE851994:PSE852023 QCA851994:QCA852023 QLW851994:QLW852023 QVS851994:QVS852023 RFO851994:RFO852023 RPK851994:RPK852023 RZG851994:RZG852023 SJC851994:SJC852023 SSY851994:SSY852023 TCU851994:TCU852023 TMQ851994:TMQ852023 TWM851994:TWM852023 UGI851994:UGI852023 UQE851994:UQE852023 VAA851994:VAA852023 VJW851994:VJW852023 VTS851994:VTS852023 WDO851994:WDO852023 WNK851994:WNK852023 AY917530:AY917559 KU917530:KU917559 UQ917530:UQ917559 AEM917530:AEM917559 AOI917530:AOI917559 AYE917530:AYE917559 BIA917530:BIA917559 BRW917530:BRW917559 CBS917530:CBS917559 CLO917530:CLO917559 CVK917530:CVK917559 DFG917530:DFG917559 DPC917530:DPC917559 DYY917530:DYY917559 EIU917530:EIU917559 ESQ917530:ESQ917559 FCM917530:FCM917559 FMI917530:FMI917559 FWE917530:FWE917559 GGA917530:GGA917559 GPW917530:GPW917559 GZS917530:GZS917559 HJO917530:HJO917559 HTK917530:HTK917559 IDG917530:IDG917559 INC917530:INC917559 IWY917530:IWY917559 JGU917530:JGU917559 JQQ917530:JQQ917559 KAM917530:KAM917559 KKI917530:KKI917559 KUE917530:KUE917559 LEA917530:LEA917559 LNW917530:LNW917559 LXS917530:LXS917559 MHO917530:MHO917559 MRK917530:MRK917559 NBG917530:NBG917559 NLC917530:NLC917559 NUY917530:NUY917559 OEU917530:OEU917559 OOQ917530:OOQ917559 OYM917530:OYM917559 PII917530:PII917559 PSE917530:PSE917559 QCA917530:QCA917559 QLW917530:QLW917559 QVS917530:QVS917559 RFO917530:RFO917559 RPK917530:RPK917559 RZG917530:RZG917559 SJC917530:SJC917559 SSY917530:SSY917559 TCU917530:TCU917559 TMQ917530:TMQ917559 TWM917530:TWM917559 UGI917530:UGI917559 UQE917530:UQE917559 VAA917530:VAA917559 VJW917530:VJW917559 VTS917530:VTS917559 WDO917530:WDO917559 WNK917530:WNK917559 AY983066:AY983095 KU983066:KU983095 UQ983066:UQ983095 AEM983066:AEM983095 AOI983066:AOI983095 AYE983066:AYE983095 BIA983066:BIA983095 BRW983066:BRW983095 CBS983066:CBS983095 CLO983066:CLO983095 CVK983066:CVK983095 DFG983066:DFG983095 DPC983066:DPC983095 DYY983066:DYY983095 EIU983066:EIU983095 ESQ983066:ESQ983095 FCM983066:FCM983095 FMI983066:FMI983095 FWE983066:FWE983095 GGA983066:GGA983095 GPW983066:GPW983095 GZS983066:GZS983095 HJO983066:HJO983095 HTK983066:HTK983095 IDG983066:IDG983095 INC983066:INC983095 IWY983066:IWY983095 JGU983066:JGU983095 JQQ983066:JQQ983095 KAM983066:KAM983095 KKI983066:KKI983095 KUE983066:KUE983095 LEA983066:LEA983095 LNW983066:LNW983095 LXS983066:LXS983095 MHO983066:MHO983095 MRK983066:MRK983095 NBG983066:NBG983095 NLC983066:NLC983095 NUY983066:NUY983095 OEU983066:OEU983095 OOQ983066:OOQ983095 OYM983066:OYM983095 PII983066:PII983095 PSE983066:PSE983095 QCA983066:QCA983095 QLW983066:QLW983095 QVS983066:QVS983095 RFO983066:RFO983095 RPK983066:RPK983095 RZG983066:RZG983095 SJC983066:SJC983095 SSY983066:SSY983095 TCU983066:TCU983095 TMQ983066:TMQ983095 TWM983066:TWM983095 UGI983066:UGI983095 UQE983066:UQE983095 VAA983066:VAA983095 VJW983066:VJW983095 VTS983066:VTS983095 WDO983066:WDO983095 UGE7:UGE58 TWI7:TWI58 TMM7:TMM58 TCQ7:TCQ58 SSU7:SSU58 SIY7:SIY58 RZC7:RZC58 RPG7:RPG58 RFK7:RFK58 QVO7:QVO58 QLS7:QLS58 QBW7:QBW58 PSA7:PSA58 PIE7:PIE58 OYI7:OYI58 OOM7:OOM58 OEQ7:OEQ58 NUU7:NUU58 NKY7:NKY58 NBC7:NBC58 MRG7:MRG58 MHK7:MHK58 LXO7:LXO58 LNS7:LNS58 LDW7:LDW58 KUA7:KUA58 KKE7:KKE58 KAI7:KAI58 JQM7:JQM58 JGQ7:JGQ58 IWU7:IWU58 IMY7:IMY58 IDC7:IDC58 HTG7:HTG58 HJK7:HJK58 GZO7:GZO58 GPS7:GPS58 GFW7:GFW58 FWA7:FWA58 FME7:FME58 FCI7:FCI58 ESM7:ESM58 EIQ7:EIQ58 DYU7:DYU58 DOY7:DOY58 DFC7:DFC58 CVG7:CVG58 CLK7:CLK58 CBO7:CBO58 BRS7:BRS58 BHW7:BHW58 AYA7:AYA58 AOE7:AOE58 AEI7:AEI58 UM7:UM58 KQ7:KQ58 AU7:AU58 VTO7:VTO58 WNG7:WNG58 WDK7:WDK58 VJS7:VJS58 UZW7:UZW58 UQA7:UQA58" xr:uid="{855F6B68-028B-4980-B22A-8A39AD64CF66}">
      <formula1>"สมเด็จ, มานพ, นิคม, คลองเตย,"</formula1>
    </dataValidation>
    <dataValidation type="list" allowBlank="1" showInputMessage="1" showErrorMessage="1" sqref="WNJ983066:WNJ983095 AX65562:AX65591 KT65562:KT65591 UP65562:UP65591 AEL65562:AEL65591 AOH65562:AOH65591 AYD65562:AYD65591 BHZ65562:BHZ65591 BRV65562:BRV65591 CBR65562:CBR65591 CLN65562:CLN65591 CVJ65562:CVJ65591 DFF65562:DFF65591 DPB65562:DPB65591 DYX65562:DYX65591 EIT65562:EIT65591 ESP65562:ESP65591 FCL65562:FCL65591 FMH65562:FMH65591 FWD65562:FWD65591 GFZ65562:GFZ65591 GPV65562:GPV65591 GZR65562:GZR65591 HJN65562:HJN65591 HTJ65562:HTJ65591 IDF65562:IDF65591 INB65562:INB65591 IWX65562:IWX65591 JGT65562:JGT65591 JQP65562:JQP65591 KAL65562:KAL65591 KKH65562:KKH65591 KUD65562:KUD65591 LDZ65562:LDZ65591 LNV65562:LNV65591 LXR65562:LXR65591 MHN65562:MHN65591 MRJ65562:MRJ65591 NBF65562:NBF65591 NLB65562:NLB65591 NUX65562:NUX65591 OET65562:OET65591 OOP65562:OOP65591 OYL65562:OYL65591 PIH65562:PIH65591 PSD65562:PSD65591 QBZ65562:QBZ65591 QLV65562:QLV65591 QVR65562:QVR65591 RFN65562:RFN65591 RPJ65562:RPJ65591 RZF65562:RZF65591 SJB65562:SJB65591 SSX65562:SSX65591 TCT65562:TCT65591 TMP65562:TMP65591 TWL65562:TWL65591 UGH65562:UGH65591 UQD65562:UQD65591 UZZ65562:UZZ65591 VJV65562:VJV65591 VTR65562:VTR65591 WDN65562:WDN65591 WNJ65562:WNJ65591 AX131098:AX131127 KT131098:KT131127 UP131098:UP131127 AEL131098:AEL131127 AOH131098:AOH131127 AYD131098:AYD131127 BHZ131098:BHZ131127 BRV131098:BRV131127 CBR131098:CBR131127 CLN131098:CLN131127 CVJ131098:CVJ131127 DFF131098:DFF131127 DPB131098:DPB131127 DYX131098:DYX131127 EIT131098:EIT131127 ESP131098:ESP131127 FCL131098:FCL131127 FMH131098:FMH131127 FWD131098:FWD131127 GFZ131098:GFZ131127 GPV131098:GPV131127 GZR131098:GZR131127 HJN131098:HJN131127 HTJ131098:HTJ131127 IDF131098:IDF131127 INB131098:INB131127 IWX131098:IWX131127 JGT131098:JGT131127 JQP131098:JQP131127 KAL131098:KAL131127 KKH131098:KKH131127 KUD131098:KUD131127 LDZ131098:LDZ131127 LNV131098:LNV131127 LXR131098:LXR131127 MHN131098:MHN131127 MRJ131098:MRJ131127 NBF131098:NBF131127 NLB131098:NLB131127 NUX131098:NUX131127 OET131098:OET131127 OOP131098:OOP131127 OYL131098:OYL131127 PIH131098:PIH131127 PSD131098:PSD131127 QBZ131098:QBZ131127 QLV131098:QLV131127 QVR131098:QVR131127 RFN131098:RFN131127 RPJ131098:RPJ131127 RZF131098:RZF131127 SJB131098:SJB131127 SSX131098:SSX131127 TCT131098:TCT131127 TMP131098:TMP131127 TWL131098:TWL131127 UGH131098:UGH131127 UQD131098:UQD131127 UZZ131098:UZZ131127 VJV131098:VJV131127 VTR131098:VTR131127 WDN131098:WDN131127 WNJ131098:WNJ131127 AX196634:AX196663 KT196634:KT196663 UP196634:UP196663 AEL196634:AEL196663 AOH196634:AOH196663 AYD196634:AYD196663 BHZ196634:BHZ196663 BRV196634:BRV196663 CBR196634:CBR196663 CLN196634:CLN196663 CVJ196634:CVJ196663 DFF196634:DFF196663 DPB196634:DPB196663 DYX196634:DYX196663 EIT196634:EIT196663 ESP196634:ESP196663 FCL196634:FCL196663 FMH196634:FMH196663 FWD196634:FWD196663 GFZ196634:GFZ196663 GPV196634:GPV196663 GZR196634:GZR196663 HJN196634:HJN196663 HTJ196634:HTJ196663 IDF196634:IDF196663 INB196634:INB196663 IWX196634:IWX196663 JGT196634:JGT196663 JQP196634:JQP196663 KAL196634:KAL196663 KKH196634:KKH196663 KUD196634:KUD196663 LDZ196634:LDZ196663 LNV196634:LNV196663 LXR196634:LXR196663 MHN196634:MHN196663 MRJ196634:MRJ196663 NBF196634:NBF196663 NLB196634:NLB196663 NUX196634:NUX196663 OET196634:OET196663 OOP196634:OOP196663 OYL196634:OYL196663 PIH196634:PIH196663 PSD196634:PSD196663 QBZ196634:QBZ196663 QLV196634:QLV196663 QVR196634:QVR196663 RFN196634:RFN196663 RPJ196634:RPJ196663 RZF196634:RZF196663 SJB196634:SJB196663 SSX196634:SSX196663 TCT196634:TCT196663 TMP196634:TMP196663 TWL196634:TWL196663 UGH196634:UGH196663 UQD196634:UQD196663 UZZ196634:UZZ196663 VJV196634:VJV196663 VTR196634:VTR196663 WDN196634:WDN196663 WNJ196634:WNJ196663 AX262170:AX262199 KT262170:KT262199 UP262170:UP262199 AEL262170:AEL262199 AOH262170:AOH262199 AYD262170:AYD262199 BHZ262170:BHZ262199 BRV262170:BRV262199 CBR262170:CBR262199 CLN262170:CLN262199 CVJ262170:CVJ262199 DFF262170:DFF262199 DPB262170:DPB262199 DYX262170:DYX262199 EIT262170:EIT262199 ESP262170:ESP262199 FCL262170:FCL262199 FMH262170:FMH262199 FWD262170:FWD262199 GFZ262170:GFZ262199 GPV262170:GPV262199 GZR262170:GZR262199 HJN262170:HJN262199 HTJ262170:HTJ262199 IDF262170:IDF262199 INB262170:INB262199 IWX262170:IWX262199 JGT262170:JGT262199 JQP262170:JQP262199 KAL262170:KAL262199 KKH262170:KKH262199 KUD262170:KUD262199 LDZ262170:LDZ262199 LNV262170:LNV262199 LXR262170:LXR262199 MHN262170:MHN262199 MRJ262170:MRJ262199 NBF262170:NBF262199 NLB262170:NLB262199 NUX262170:NUX262199 OET262170:OET262199 OOP262170:OOP262199 OYL262170:OYL262199 PIH262170:PIH262199 PSD262170:PSD262199 QBZ262170:QBZ262199 QLV262170:QLV262199 QVR262170:QVR262199 RFN262170:RFN262199 RPJ262170:RPJ262199 RZF262170:RZF262199 SJB262170:SJB262199 SSX262170:SSX262199 TCT262170:TCT262199 TMP262170:TMP262199 TWL262170:TWL262199 UGH262170:UGH262199 UQD262170:UQD262199 UZZ262170:UZZ262199 VJV262170:VJV262199 VTR262170:VTR262199 WDN262170:WDN262199 WNJ262170:WNJ262199 AX327706:AX327735 KT327706:KT327735 UP327706:UP327735 AEL327706:AEL327735 AOH327706:AOH327735 AYD327706:AYD327735 BHZ327706:BHZ327735 BRV327706:BRV327735 CBR327706:CBR327735 CLN327706:CLN327735 CVJ327706:CVJ327735 DFF327706:DFF327735 DPB327706:DPB327735 DYX327706:DYX327735 EIT327706:EIT327735 ESP327706:ESP327735 FCL327706:FCL327735 FMH327706:FMH327735 FWD327706:FWD327735 GFZ327706:GFZ327735 GPV327706:GPV327735 GZR327706:GZR327735 HJN327706:HJN327735 HTJ327706:HTJ327735 IDF327706:IDF327735 INB327706:INB327735 IWX327706:IWX327735 JGT327706:JGT327735 JQP327706:JQP327735 KAL327706:KAL327735 KKH327706:KKH327735 KUD327706:KUD327735 LDZ327706:LDZ327735 LNV327706:LNV327735 LXR327706:LXR327735 MHN327706:MHN327735 MRJ327706:MRJ327735 NBF327706:NBF327735 NLB327706:NLB327735 NUX327706:NUX327735 OET327706:OET327735 OOP327706:OOP327735 OYL327706:OYL327735 PIH327706:PIH327735 PSD327706:PSD327735 QBZ327706:QBZ327735 QLV327706:QLV327735 QVR327706:QVR327735 RFN327706:RFN327735 RPJ327706:RPJ327735 RZF327706:RZF327735 SJB327706:SJB327735 SSX327706:SSX327735 TCT327706:TCT327735 TMP327706:TMP327735 TWL327706:TWL327735 UGH327706:UGH327735 UQD327706:UQD327735 UZZ327706:UZZ327735 VJV327706:VJV327735 VTR327706:VTR327735 WDN327706:WDN327735 WNJ327706:WNJ327735 AX393242:AX393271 KT393242:KT393271 UP393242:UP393271 AEL393242:AEL393271 AOH393242:AOH393271 AYD393242:AYD393271 BHZ393242:BHZ393271 BRV393242:BRV393271 CBR393242:CBR393271 CLN393242:CLN393271 CVJ393242:CVJ393271 DFF393242:DFF393271 DPB393242:DPB393271 DYX393242:DYX393271 EIT393242:EIT393271 ESP393242:ESP393271 FCL393242:FCL393271 FMH393242:FMH393271 FWD393242:FWD393271 GFZ393242:GFZ393271 GPV393242:GPV393271 GZR393242:GZR393271 HJN393242:HJN393271 HTJ393242:HTJ393271 IDF393242:IDF393271 INB393242:INB393271 IWX393242:IWX393271 JGT393242:JGT393271 JQP393242:JQP393271 KAL393242:KAL393271 KKH393242:KKH393271 KUD393242:KUD393271 LDZ393242:LDZ393271 LNV393242:LNV393271 LXR393242:LXR393271 MHN393242:MHN393271 MRJ393242:MRJ393271 NBF393242:NBF393271 NLB393242:NLB393271 NUX393242:NUX393271 OET393242:OET393271 OOP393242:OOP393271 OYL393242:OYL393271 PIH393242:PIH393271 PSD393242:PSD393271 QBZ393242:QBZ393271 QLV393242:QLV393271 QVR393242:QVR393271 RFN393242:RFN393271 RPJ393242:RPJ393271 RZF393242:RZF393271 SJB393242:SJB393271 SSX393242:SSX393271 TCT393242:TCT393271 TMP393242:TMP393271 TWL393242:TWL393271 UGH393242:UGH393271 UQD393242:UQD393271 UZZ393242:UZZ393271 VJV393242:VJV393271 VTR393242:VTR393271 WDN393242:WDN393271 WNJ393242:WNJ393271 AX458778:AX458807 KT458778:KT458807 UP458778:UP458807 AEL458778:AEL458807 AOH458778:AOH458807 AYD458778:AYD458807 BHZ458778:BHZ458807 BRV458778:BRV458807 CBR458778:CBR458807 CLN458778:CLN458807 CVJ458778:CVJ458807 DFF458778:DFF458807 DPB458778:DPB458807 DYX458778:DYX458807 EIT458778:EIT458807 ESP458778:ESP458807 FCL458778:FCL458807 FMH458778:FMH458807 FWD458778:FWD458807 GFZ458778:GFZ458807 GPV458778:GPV458807 GZR458778:GZR458807 HJN458778:HJN458807 HTJ458778:HTJ458807 IDF458778:IDF458807 INB458778:INB458807 IWX458778:IWX458807 JGT458778:JGT458807 JQP458778:JQP458807 KAL458778:KAL458807 KKH458778:KKH458807 KUD458778:KUD458807 LDZ458778:LDZ458807 LNV458778:LNV458807 LXR458778:LXR458807 MHN458778:MHN458807 MRJ458778:MRJ458807 NBF458778:NBF458807 NLB458778:NLB458807 NUX458778:NUX458807 OET458778:OET458807 OOP458778:OOP458807 OYL458778:OYL458807 PIH458778:PIH458807 PSD458778:PSD458807 QBZ458778:QBZ458807 QLV458778:QLV458807 QVR458778:QVR458807 RFN458778:RFN458807 RPJ458778:RPJ458807 RZF458778:RZF458807 SJB458778:SJB458807 SSX458778:SSX458807 TCT458778:TCT458807 TMP458778:TMP458807 TWL458778:TWL458807 UGH458778:UGH458807 UQD458778:UQD458807 UZZ458778:UZZ458807 VJV458778:VJV458807 VTR458778:VTR458807 WDN458778:WDN458807 WNJ458778:WNJ458807 AX524314:AX524343 KT524314:KT524343 UP524314:UP524343 AEL524314:AEL524343 AOH524314:AOH524343 AYD524314:AYD524343 BHZ524314:BHZ524343 BRV524314:BRV524343 CBR524314:CBR524343 CLN524314:CLN524343 CVJ524314:CVJ524343 DFF524314:DFF524343 DPB524314:DPB524343 DYX524314:DYX524343 EIT524314:EIT524343 ESP524314:ESP524343 FCL524314:FCL524343 FMH524314:FMH524343 FWD524314:FWD524343 GFZ524314:GFZ524343 GPV524314:GPV524343 GZR524314:GZR524343 HJN524314:HJN524343 HTJ524314:HTJ524343 IDF524314:IDF524343 INB524314:INB524343 IWX524314:IWX524343 JGT524314:JGT524343 JQP524314:JQP524343 KAL524314:KAL524343 KKH524314:KKH524343 KUD524314:KUD524343 LDZ524314:LDZ524343 LNV524314:LNV524343 LXR524314:LXR524343 MHN524314:MHN524343 MRJ524314:MRJ524343 NBF524314:NBF524343 NLB524314:NLB524343 NUX524314:NUX524343 OET524314:OET524343 OOP524314:OOP524343 OYL524314:OYL524343 PIH524314:PIH524343 PSD524314:PSD524343 QBZ524314:QBZ524343 QLV524314:QLV524343 QVR524314:QVR524343 RFN524314:RFN524343 RPJ524314:RPJ524343 RZF524314:RZF524343 SJB524314:SJB524343 SSX524314:SSX524343 TCT524314:TCT524343 TMP524314:TMP524343 TWL524314:TWL524343 UGH524314:UGH524343 UQD524314:UQD524343 UZZ524314:UZZ524343 VJV524314:VJV524343 VTR524314:VTR524343 WDN524314:WDN524343 WNJ524314:WNJ524343 AX589850:AX589879 KT589850:KT589879 UP589850:UP589879 AEL589850:AEL589879 AOH589850:AOH589879 AYD589850:AYD589879 BHZ589850:BHZ589879 BRV589850:BRV589879 CBR589850:CBR589879 CLN589850:CLN589879 CVJ589850:CVJ589879 DFF589850:DFF589879 DPB589850:DPB589879 DYX589850:DYX589879 EIT589850:EIT589879 ESP589850:ESP589879 FCL589850:FCL589879 FMH589850:FMH589879 FWD589850:FWD589879 GFZ589850:GFZ589879 GPV589850:GPV589879 GZR589850:GZR589879 HJN589850:HJN589879 HTJ589850:HTJ589879 IDF589850:IDF589879 INB589850:INB589879 IWX589850:IWX589879 JGT589850:JGT589879 JQP589850:JQP589879 KAL589850:KAL589879 KKH589850:KKH589879 KUD589850:KUD589879 LDZ589850:LDZ589879 LNV589850:LNV589879 LXR589850:LXR589879 MHN589850:MHN589879 MRJ589850:MRJ589879 NBF589850:NBF589879 NLB589850:NLB589879 NUX589850:NUX589879 OET589850:OET589879 OOP589850:OOP589879 OYL589850:OYL589879 PIH589850:PIH589879 PSD589850:PSD589879 QBZ589850:QBZ589879 QLV589850:QLV589879 QVR589850:QVR589879 RFN589850:RFN589879 RPJ589850:RPJ589879 RZF589850:RZF589879 SJB589850:SJB589879 SSX589850:SSX589879 TCT589850:TCT589879 TMP589850:TMP589879 TWL589850:TWL589879 UGH589850:UGH589879 UQD589850:UQD589879 UZZ589850:UZZ589879 VJV589850:VJV589879 VTR589850:VTR589879 WDN589850:WDN589879 WNJ589850:WNJ589879 AX655386:AX655415 KT655386:KT655415 UP655386:UP655415 AEL655386:AEL655415 AOH655386:AOH655415 AYD655386:AYD655415 BHZ655386:BHZ655415 BRV655386:BRV655415 CBR655386:CBR655415 CLN655386:CLN655415 CVJ655386:CVJ655415 DFF655386:DFF655415 DPB655386:DPB655415 DYX655386:DYX655415 EIT655386:EIT655415 ESP655386:ESP655415 FCL655386:FCL655415 FMH655386:FMH655415 FWD655386:FWD655415 GFZ655386:GFZ655415 GPV655386:GPV655415 GZR655386:GZR655415 HJN655386:HJN655415 HTJ655386:HTJ655415 IDF655386:IDF655415 INB655386:INB655415 IWX655386:IWX655415 JGT655386:JGT655415 JQP655386:JQP655415 KAL655386:KAL655415 KKH655386:KKH655415 KUD655386:KUD655415 LDZ655386:LDZ655415 LNV655386:LNV655415 LXR655386:LXR655415 MHN655386:MHN655415 MRJ655386:MRJ655415 NBF655386:NBF655415 NLB655386:NLB655415 NUX655386:NUX655415 OET655386:OET655415 OOP655386:OOP655415 OYL655386:OYL655415 PIH655386:PIH655415 PSD655386:PSD655415 QBZ655386:QBZ655415 QLV655386:QLV655415 QVR655386:QVR655415 RFN655386:RFN655415 RPJ655386:RPJ655415 RZF655386:RZF655415 SJB655386:SJB655415 SSX655386:SSX655415 TCT655386:TCT655415 TMP655386:TMP655415 TWL655386:TWL655415 UGH655386:UGH655415 UQD655386:UQD655415 UZZ655386:UZZ655415 VJV655386:VJV655415 VTR655386:VTR655415 WDN655386:WDN655415 WNJ655386:WNJ655415 AX720922:AX720951 KT720922:KT720951 UP720922:UP720951 AEL720922:AEL720951 AOH720922:AOH720951 AYD720922:AYD720951 BHZ720922:BHZ720951 BRV720922:BRV720951 CBR720922:CBR720951 CLN720922:CLN720951 CVJ720922:CVJ720951 DFF720922:DFF720951 DPB720922:DPB720951 DYX720922:DYX720951 EIT720922:EIT720951 ESP720922:ESP720951 FCL720922:FCL720951 FMH720922:FMH720951 FWD720922:FWD720951 GFZ720922:GFZ720951 GPV720922:GPV720951 GZR720922:GZR720951 HJN720922:HJN720951 HTJ720922:HTJ720951 IDF720922:IDF720951 INB720922:INB720951 IWX720922:IWX720951 JGT720922:JGT720951 JQP720922:JQP720951 KAL720922:KAL720951 KKH720922:KKH720951 KUD720922:KUD720951 LDZ720922:LDZ720951 LNV720922:LNV720951 LXR720922:LXR720951 MHN720922:MHN720951 MRJ720922:MRJ720951 NBF720922:NBF720951 NLB720922:NLB720951 NUX720922:NUX720951 OET720922:OET720951 OOP720922:OOP720951 OYL720922:OYL720951 PIH720922:PIH720951 PSD720922:PSD720951 QBZ720922:QBZ720951 QLV720922:QLV720951 QVR720922:QVR720951 RFN720922:RFN720951 RPJ720922:RPJ720951 RZF720922:RZF720951 SJB720922:SJB720951 SSX720922:SSX720951 TCT720922:TCT720951 TMP720922:TMP720951 TWL720922:TWL720951 UGH720922:UGH720951 UQD720922:UQD720951 UZZ720922:UZZ720951 VJV720922:VJV720951 VTR720922:VTR720951 WDN720922:WDN720951 WNJ720922:WNJ720951 AX786458:AX786487 KT786458:KT786487 UP786458:UP786487 AEL786458:AEL786487 AOH786458:AOH786487 AYD786458:AYD786487 BHZ786458:BHZ786487 BRV786458:BRV786487 CBR786458:CBR786487 CLN786458:CLN786487 CVJ786458:CVJ786487 DFF786458:DFF786487 DPB786458:DPB786487 DYX786458:DYX786487 EIT786458:EIT786487 ESP786458:ESP786487 FCL786458:FCL786487 FMH786458:FMH786487 FWD786458:FWD786487 GFZ786458:GFZ786487 GPV786458:GPV786487 GZR786458:GZR786487 HJN786458:HJN786487 HTJ786458:HTJ786487 IDF786458:IDF786487 INB786458:INB786487 IWX786458:IWX786487 JGT786458:JGT786487 JQP786458:JQP786487 KAL786458:KAL786487 KKH786458:KKH786487 KUD786458:KUD786487 LDZ786458:LDZ786487 LNV786458:LNV786487 LXR786458:LXR786487 MHN786458:MHN786487 MRJ786458:MRJ786487 NBF786458:NBF786487 NLB786458:NLB786487 NUX786458:NUX786487 OET786458:OET786487 OOP786458:OOP786487 OYL786458:OYL786487 PIH786458:PIH786487 PSD786458:PSD786487 QBZ786458:QBZ786487 QLV786458:QLV786487 QVR786458:QVR786487 RFN786458:RFN786487 RPJ786458:RPJ786487 RZF786458:RZF786487 SJB786458:SJB786487 SSX786458:SSX786487 TCT786458:TCT786487 TMP786458:TMP786487 TWL786458:TWL786487 UGH786458:UGH786487 UQD786458:UQD786487 UZZ786458:UZZ786487 VJV786458:VJV786487 VTR786458:VTR786487 WDN786458:WDN786487 WNJ786458:WNJ786487 AX851994:AX852023 KT851994:KT852023 UP851994:UP852023 AEL851994:AEL852023 AOH851994:AOH852023 AYD851994:AYD852023 BHZ851994:BHZ852023 BRV851994:BRV852023 CBR851994:CBR852023 CLN851994:CLN852023 CVJ851994:CVJ852023 DFF851994:DFF852023 DPB851994:DPB852023 DYX851994:DYX852023 EIT851994:EIT852023 ESP851994:ESP852023 FCL851994:FCL852023 FMH851994:FMH852023 FWD851994:FWD852023 GFZ851994:GFZ852023 GPV851994:GPV852023 GZR851994:GZR852023 HJN851994:HJN852023 HTJ851994:HTJ852023 IDF851994:IDF852023 INB851994:INB852023 IWX851994:IWX852023 JGT851994:JGT852023 JQP851994:JQP852023 KAL851994:KAL852023 KKH851994:KKH852023 KUD851994:KUD852023 LDZ851994:LDZ852023 LNV851994:LNV852023 LXR851994:LXR852023 MHN851994:MHN852023 MRJ851994:MRJ852023 NBF851994:NBF852023 NLB851994:NLB852023 NUX851994:NUX852023 OET851994:OET852023 OOP851994:OOP852023 OYL851994:OYL852023 PIH851994:PIH852023 PSD851994:PSD852023 QBZ851994:QBZ852023 QLV851994:QLV852023 QVR851994:QVR852023 RFN851994:RFN852023 RPJ851994:RPJ852023 RZF851994:RZF852023 SJB851994:SJB852023 SSX851994:SSX852023 TCT851994:TCT852023 TMP851994:TMP852023 TWL851994:TWL852023 UGH851994:UGH852023 UQD851994:UQD852023 UZZ851994:UZZ852023 VJV851994:VJV852023 VTR851994:VTR852023 WDN851994:WDN852023 WNJ851994:WNJ852023 AX917530:AX917559 KT917530:KT917559 UP917530:UP917559 AEL917530:AEL917559 AOH917530:AOH917559 AYD917530:AYD917559 BHZ917530:BHZ917559 BRV917530:BRV917559 CBR917530:CBR917559 CLN917530:CLN917559 CVJ917530:CVJ917559 DFF917530:DFF917559 DPB917530:DPB917559 DYX917530:DYX917559 EIT917530:EIT917559 ESP917530:ESP917559 FCL917530:FCL917559 FMH917530:FMH917559 FWD917530:FWD917559 GFZ917530:GFZ917559 GPV917530:GPV917559 GZR917530:GZR917559 HJN917530:HJN917559 HTJ917530:HTJ917559 IDF917530:IDF917559 INB917530:INB917559 IWX917530:IWX917559 JGT917530:JGT917559 JQP917530:JQP917559 KAL917530:KAL917559 KKH917530:KKH917559 KUD917530:KUD917559 LDZ917530:LDZ917559 LNV917530:LNV917559 LXR917530:LXR917559 MHN917530:MHN917559 MRJ917530:MRJ917559 NBF917530:NBF917559 NLB917530:NLB917559 NUX917530:NUX917559 OET917530:OET917559 OOP917530:OOP917559 OYL917530:OYL917559 PIH917530:PIH917559 PSD917530:PSD917559 QBZ917530:QBZ917559 QLV917530:QLV917559 QVR917530:QVR917559 RFN917530:RFN917559 RPJ917530:RPJ917559 RZF917530:RZF917559 SJB917530:SJB917559 SSX917530:SSX917559 TCT917530:TCT917559 TMP917530:TMP917559 TWL917530:TWL917559 UGH917530:UGH917559 UQD917530:UQD917559 UZZ917530:UZZ917559 VJV917530:VJV917559 VTR917530:VTR917559 WDN917530:WDN917559 WNJ917530:WNJ917559 AX983066:AX983095 KT983066:KT983095 UP983066:UP983095 AEL983066:AEL983095 AOH983066:AOH983095 AYD983066:AYD983095 BHZ983066:BHZ983095 BRV983066:BRV983095 CBR983066:CBR983095 CLN983066:CLN983095 CVJ983066:CVJ983095 DFF983066:DFF983095 DPB983066:DPB983095 DYX983066:DYX983095 EIT983066:EIT983095 ESP983066:ESP983095 FCL983066:FCL983095 FMH983066:FMH983095 FWD983066:FWD983095 GFZ983066:GFZ983095 GPV983066:GPV983095 GZR983066:GZR983095 HJN983066:HJN983095 HTJ983066:HTJ983095 IDF983066:IDF983095 INB983066:INB983095 IWX983066:IWX983095 JGT983066:JGT983095 JQP983066:JQP983095 KAL983066:KAL983095 KKH983066:KKH983095 KUD983066:KUD983095 LDZ983066:LDZ983095 LNV983066:LNV983095 LXR983066:LXR983095 MHN983066:MHN983095 MRJ983066:MRJ983095 NBF983066:NBF983095 NLB983066:NLB983095 NUX983066:NUX983095 OET983066:OET983095 OOP983066:OOP983095 OYL983066:OYL983095 PIH983066:PIH983095 PSD983066:PSD983095 QBZ983066:QBZ983095 QLV983066:QLV983095 QVR983066:QVR983095 RFN983066:RFN983095 RPJ983066:RPJ983095 RZF983066:RZF983095 SJB983066:SJB983095 SSX983066:SSX983095 TCT983066:TCT983095 TMP983066:TMP983095 TWL983066:TWL983095 UGH983066:UGH983095 UQD983066:UQD983095 UZZ983066:UZZ983095 VJV983066:VJV983095 VTR983066:VTR983095 WDN983066:WDN983095 VTN7:VTN58 VJR7:VJR58 UZV7:UZV58 UPZ7:UPZ58 UGD7:UGD58 TWH7:TWH58 TML7:TML58 TCP7:TCP58 SST7:SST58 SIX7:SIX58 RZB7:RZB58 RPF7:RPF58 RFJ7:RFJ58 QVN7:QVN58 QLR7:QLR58 QBV7:QBV58 PRZ7:PRZ58 PID7:PID58 OYH7:OYH58 OOL7:OOL58 OEP7:OEP58 NUT7:NUT58 NKX7:NKX58 NBB7:NBB58 MRF7:MRF58 MHJ7:MHJ58 LXN7:LXN58 LNR7:LNR58 LDV7:LDV58 KTZ7:KTZ58 KKD7:KKD58 KAH7:KAH58 JQL7:JQL58 JGP7:JGP58 IWT7:IWT58 IMX7:IMX58 IDB7:IDB58 HTF7:HTF58 HJJ7:HJJ58 GZN7:GZN58 GPR7:GPR58 GFV7:GFV58 FVZ7:FVZ58 FMD7:FMD58 FCH7:FCH58 ESL7:ESL58 EIP7:EIP58 DYT7:DYT58 DOX7:DOX58 DFB7:DFB58 CVF7:CVF58 CLJ7:CLJ58 CBN7:CBN58 BRR7:BRR58 BHV7:BHV58 AXZ7:AXZ58 AOD7:AOD58 AEH7:AEH58 UL7:UL58 KP7:KP58 AT7:AT58 WNF7:WNF58 WDJ7:WDJ58"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33" fitToHeight="2" orientation="landscape" r:id="rId1"/>
  <headerFooter alignWithMargins="0"/>
  <ignoredErrors>
    <ignoredError sqref="AL59 AC59"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D51 D47 D15 D11 D7 D19 D23 D27 D31 D35 D43 D39 D55</xm:sqref>
        </x14:dataValidation>
        <x14:dataValidation type="list" allowBlank="1" showInputMessage="1" showErrorMessage="1" xr:uid="{5BF4A911-C3A6-4585-85E2-A5F3557B19DD}">
          <x14:formula1>
            <xm:f>Ref!$D$2:$D$3</xm:f>
          </x14:formula1>
          <xm:sqref>K7 K11 K15 K19 K23 K27 K31 K35 K43 K39 V43 K47 K51 V7 V11 V15 V19 V23 V27 V31 V35 V47 V39 AE43 AE47 V51 AE7 AE11 AE15 AE19 AE23 AE27 AE31 AE35 AE51 AE39 K55 V55 AE55</xm:sqref>
        </x14:dataValidation>
        <x14:dataValidation type="list" allowBlank="1" showInputMessage="1" showErrorMessage="1" xr:uid="{6070C04B-CD25-4340-BB4C-216D792EDCD6}">
          <x14:formula1>
            <xm:f>Ref!$C$2:$C$16</xm:f>
          </x14:formula1>
          <xm:sqref>E47 E43 E39 E51 E35 E31 E27 E23 E19 E15 E7 E11 E55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C205"/>
  <sheetViews>
    <sheetView zoomScale="85" zoomScaleNormal="85" workbookViewId="0">
      <selection activeCell="JG15" sqref="JG14:JG15"/>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19.5546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9" width="0" style="58" hidden="1"/>
    <col min="16150" max="16384" width="9.109375" style="58" hidden="1"/>
  </cols>
  <sheetData>
    <row r="1" spans="1:265" s="818" customFormat="1" ht="22.8" customHeight="1">
      <c r="A1" s="362" t="s">
        <v>158</v>
      </c>
      <c r="B1" s="816"/>
      <c r="C1" s="816"/>
      <c r="D1" s="362"/>
      <c r="E1" s="817"/>
      <c r="F1" s="817"/>
      <c r="G1" s="817"/>
      <c r="H1" s="817"/>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818" customFormat="1" ht="22.8" customHeight="1">
      <c r="A2" s="362" t="s">
        <v>264</v>
      </c>
      <c r="B2" s="816"/>
      <c r="C2" s="816"/>
      <c r="D2" s="362"/>
      <c r="E2" s="817"/>
      <c r="F2" s="817"/>
      <c r="G2" s="817"/>
      <c r="H2" s="817"/>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818" customFormat="1" ht="22.8" customHeight="1" thickBot="1">
      <c r="A3" s="363" t="s">
        <v>66</v>
      </c>
      <c r="B3" s="362"/>
      <c r="C3" s="363"/>
      <c r="D3" s="363"/>
      <c r="E3" s="364"/>
      <c r="F3" s="364"/>
      <c r="G3" s="159">
        <v>0.04</v>
      </c>
      <c r="H3" s="365"/>
      <c r="I3" s="819"/>
      <c r="J3" s="819"/>
      <c r="K3" s="819"/>
      <c r="L3" s="819"/>
      <c r="M3" s="820" t="s">
        <v>168</v>
      </c>
      <c r="N3" s="820"/>
      <c r="O3" s="820"/>
      <c r="P3" s="820"/>
      <c r="Q3" s="820"/>
      <c r="IX3" s="363"/>
      <c r="IY3" s="821" t="s">
        <v>185</v>
      </c>
      <c r="IZ3" s="363"/>
      <c r="JA3" s="363"/>
      <c r="JB3" s="363"/>
      <c r="JC3" s="363"/>
      <c r="JD3" s="363"/>
      <c r="JE3" s="363"/>
    </row>
    <row r="4" spans="1:265" s="45" customFormat="1" ht="30" customHeight="1" thickBot="1">
      <c r="A4" s="798" t="s">
        <v>0</v>
      </c>
      <c r="B4" s="445" t="s">
        <v>2</v>
      </c>
      <c r="C4" s="445" t="s">
        <v>6</v>
      </c>
      <c r="D4" s="445" t="s">
        <v>9</v>
      </c>
      <c r="E4" s="446" t="s">
        <v>26</v>
      </c>
      <c r="F4" s="447" t="s">
        <v>3</v>
      </c>
      <c r="G4" s="446" t="s">
        <v>29</v>
      </c>
      <c r="H4" s="448" t="s">
        <v>4</v>
      </c>
      <c r="I4" s="348"/>
      <c r="J4" s="356"/>
      <c r="K4" s="776"/>
      <c r="L4" s="776"/>
      <c r="M4" s="347" t="s">
        <v>169</v>
      </c>
      <c r="N4" s="347" t="s">
        <v>170</v>
      </c>
      <c r="O4" s="347" t="s">
        <v>171</v>
      </c>
      <c r="P4" s="347" t="s">
        <v>172</v>
      </c>
      <c r="Q4" s="347" t="s">
        <v>173</v>
      </c>
      <c r="IX4" s="386"/>
      <c r="IY4" s="353" t="s">
        <v>94</v>
      </c>
      <c r="IZ4" s="354" t="s">
        <v>183</v>
      </c>
      <c r="JA4" s="354" t="s">
        <v>184</v>
      </c>
      <c r="JB4" s="354" t="s">
        <v>186</v>
      </c>
      <c r="JC4" s="354" t="s">
        <v>187</v>
      </c>
      <c r="JD4" s="354" t="s">
        <v>188</v>
      </c>
      <c r="JE4" s="386"/>
    </row>
    <row r="5" spans="1:265" s="175" customFormat="1" ht="19.95" customHeight="1">
      <c r="A5" s="822">
        <v>1</v>
      </c>
      <c r="B5" s="823" t="s">
        <v>94</v>
      </c>
      <c r="C5" s="426" t="s">
        <v>70</v>
      </c>
      <c r="D5" s="427" t="s">
        <v>64</v>
      </c>
      <c r="E5" s="428">
        <f>COUNTIFS(Table1351452010[[#All],[Sales]],"คุณนิมิต จุ้ยอยู่ทอง",Table1351452010[[#All],[แบ่งจ่าย/งวด
(ตามปีสัญญา)]],"&gt;0")</f>
        <v>2</v>
      </c>
      <c r="F5" s="429">
        <f ca="1">SUMIF(Table1351452010[[#All],[Sales]],"คุณนิมิต จุ้ยอยู่ทอง",Table1351452010[[#Headers],[Total
รายการเบิก
คอมขาย
(1)]])</f>
        <v>6944.3600000000006</v>
      </c>
      <c r="G5" s="430">
        <f ca="1">F5*G3</f>
        <v>277.77440000000001</v>
      </c>
      <c r="H5" s="431">
        <f ca="1">F5-G5</f>
        <v>6666.5856000000003</v>
      </c>
      <c r="I5" s="468" t="s">
        <v>190</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824"/>
      <c r="B6" s="334"/>
      <c r="C6" s="328" t="s">
        <v>71</v>
      </c>
      <c r="D6" s="176"/>
      <c r="E6" s="432">
        <f>COUNTIFS(Table1351452010[[#All],[Sales]],"คุณธวัช มีแสง",Table1351452010[[#All],[แบ่งจ่าย/งวด
(ตามปีสัญญา)]],"&gt;0")</f>
        <v>0</v>
      </c>
      <c r="F6" s="433">
        <f ca="1">SUMIF(Table1351452010[[#All],[Sales]],"คุณธวัช มีแสง",Table1351452010[[#Headers],[Total
รายการเบิก
คอมขาย
(1)]])</f>
        <v>0</v>
      </c>
      <c r="G6" s="434">
        <f ca="1">F6*$G$3</f>
        <v>0</v>
      </c>
      <c r="H6" s="435">
        <f ca="1">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824"/>
      <c r="B7" s="334"/>
      <c r="C7" s="328" t="s">
        <v>73</v>
      </c>
      <c r="D7" s="176"/>
      <c r="E7" s="432">
        <f>COUNTIFS(Table1351452010[[#All],[Sales]],"คุณนิยนต์ อยู่ทะเล",Table1351452010[[#All],[แบ่งจ่าย/งวด
(ตามปีสัญญา)]],"&gt;0")</f>
        <v>0</v>
      </c>
      <c r="F7" s="433">
        <f ca="1">SUMIF(Table1351452010[[#All],[Sales]],"คุณนิยนต์ อยู่ทะเล",Table1351452010[[#Headers],[Total
รายการเบิก
คอมขาย
(1)]])</f>
        <v>0</v>
      </c>
      <c r="G7" s="434">
        <f t="shared" ref="G7:G15" ca="1" si="0">F7*$G$3</f>
        <v>0</v>
      </c>
      <c r="H7" s="435">
        <f t="shared" ref="H7:H15" ca="1" si="1">F7-G7</f>
        <v>0</v>
      </c>
      <c r="I7" s="358"/>
      <c r="J7" s="358"/>
      <c r="K7" s="358"/>
      <c r="L7" s="358"/>
      <c r="M7" s="351"/>
      <c r="N7" s="352"/>
      <c r="O7" s="351"/>
      <c r="P7" s="351"/>
      <c r="Q7" s="351"/>
      <c r="IX7" s="361"/>
      <c r="IY7" s="346" t="s">
        <v>73</v>
      </c>
      <c r="IZ7" s="346"/>
      <c r="JA7" s="346"/>
      <c r="JB7" s="346"/>
      <c r="JC7" s="346"/>
      <c r="JD7" s="346"/>
      <c r="JE7" s="361"/>
    </row>
    <row r="8" spans="1:265" s="175" customFormat="1" ht="19.95" customHeight="1">
      <c r="A8" s="824"/>
      <c r="B8" s="334"/>
      <c r="C8" s="328" t="s">
        <v>74</v>
      </c>
      <c r="D8" s="176"/>
      <c r="E8" s="432">
        <f>COUNTIFS(Table1351452010[[#All],[Sales]],"คุณจินตนา อ้อยหวาน",Table1351452010[[#All],[แบ่งจ่าย/งวด
(ตามปีสัญญา)]],"&gt;0")</f>
        <v>0</v>
      </c>
      <c r="F8" s="433">
        <f ca="1">SUMIF(Table1351452010[[#All],[Sales]],"คุณจินตนา อ้อยหวาน",Table1351452010[[#Headers],[Total
รายการเบิก
คอมขาย
(1)]])</f>
        <v>0</v>
      </c>
      <c r="G8" s="434">
        <f t="shared" ca="1" si="0"/>
        <v>0</v>
      </c>
      <c r="H8" s="435">
        <f t="shared" ca="1" si="1"/>
        <v>0</v>
      </c>
      <c r="I8" s="358"/>
      <c r="J8" s="358"/>
      <c r="K8" s="358"/>
      <c r="L8" s="358"/>
      <c r="M8" s="351"/>
      <c r="N8" s="352"/>
      <c r="O8" s="351"/>
      <c r="P8" s="351"/>
      <c r="Q8" s="351"/>
      <c r="IX8" s="361"/>
      <c r="IY8" s="346" t="s">
        <v>74</v>
      </c>
      <c r="IZ8" s="346"/>
      <c r="JA8" s="346"/>
      <c r="JB8" s="346"/>
      <c r="JC8" s="346"/>
      <c r="JD8" s="346"/>
      <c r="JE8" s="361"/>
    </row>
    <row r="9" spans="1:265" s="175" customFormat="1" ht="19.95" customHeight="1">
      <c r="A9" s="824"/>
      <c r="B9" s="334"/>
      <c r="C9" s="328" t="s">
        <v>75</v>
      </c>
      <c r="D9" s="176"/>
      <c r="E9" s="432">
        <v>2</v>
      </c>
      <c r="F9" s="433">
        <f>2522.97+2417.07</f>
        <v>4940.04</v>
      </c>
      <c r="G9" s="434">
        <f t="shared" si="0"/>
        <v>197.60159999999999</v>
      </c>
      <c r="H9" s="435">
        <f t="shared" si="1"/>
        <v>4742.4384</v>
      </c>
      <c r="I9" s="358"/>
      <c r="J9" s="358"/>
      <c r="K9" s="750"/>
      <c r="L9" s="358"/>
      <c r="M9" s="351"/>
      <c r="N9" s="352"/>
      <c r="O9" s="351"/>
      <c r="P9" s="351"/>
      <c r="Q9" s="351"/>
      <c r="IX9" s="361"/>
      <c r="IY9" s="346" t="s">
        <v>75</v>
      </c>
      <c r="IZ9" s="346"/>
      <c r="JA9" s="346"/>
      <c r="JB9" s="346"/>
      <c r="JC9" s="346"/>
      <c r="JD9" s="346"/>
      <c r="JE9" s="361"/>
    </row>
    <row r="10" spans="1:265" s="175" customFormat="1" ht="19.95" customHeight="1">
      <c r="A10" s="824"/>
      <c r="B10" s="334"/>
      <c r="C10" s="328" t="s">
        <v>154</v>
      </c>
      <c r="D10" s="176"/>
      <c r="E10" s="432">
        <f>COUNTIFS(Table1351452010[[#All],[Sales]],"คุณนรินทร์ ปิงมูล",Table1351452010[[#All],[แบ่งจ่าย/งวด
(ตามปีสัญญา)]],"&gt;0")</f>
        <v>0</v>
      </c>
      <c r="F10" s="433">
        <f ca="1">SUMIF(Table1351452010[[#All],[Sales]],"คุณนรินทร์ ปิงมูล",Table1351452010[[#Headers],[Total
รายการเบิก
คอมขาย
(1)]])</f>
        <v>0</v>
      </c>
      <c r="G10" s="434">
        <f t="shared" ca="1" si="0"/>
        <v>0</v>
      </c>
      <c r="H10" s="435">
        <f t="shared" ca="1" si="1"/>
        <v>0</v>
      </c>
      <c r="I10" s="358"/>
      <c r="J10" s="358"/>
      <c r="K10" s="356"/>
      <c r="L10" s="356"/>
      <c r="M10" s="351"/>
      <c r="N10" s="352"/>
      <c r="O10" s="351"/>
      <c r="P10" s="351"/>
      <c r="Q10" s="351"/>
      <c r="IX10" s="361"/>
      <c r="IY10" s="346" t="s">
        <v>154</v>
      </c>
      <c r="IZ10" s="346"/>
      <c r="JA10" s="346"/>
      <c r="JB10" s="346"/>
      <c r="JC10" s="346"/>
      <c r="JD10" s="346"/>
      <c r="JE10" s="361"/>
    </row>
    <row r="11" spans="1:265" s="175" customFormat="1" ht="19.95" customHeight="1">
      <c r="A11" s="824"/>
      <c r="B11" s="334"/>
      <c r="C11" s="328" t="s">
        <v>130</v>
      </c>
      <c r="D11" s="176"/>
      <c r="E11" s="432">
        <f>COUNTIFS(Table1351452010[[#All],[Sales]],"คุณชนัฐฎา สนคะมี",Table1351452010[[#All],[แบ่งจ่าย/งวด
(ตามปีสัญญา)]],"&gt;0")</f>
        <v>0</v>
      </c>
      <c r="F11" s="433">
        <f ca="1">SUMIF(Table1351452010[[#All],[Sales]],"คุณชนัฐฎา สนคะมี",Table1351452010[[#Headers],[Total
รายการเบิก
คอมขาย
(1)]])</f>
        <v>12125</v>
      </c>
      <c r="G11" s="434">
        <f t="shared" ca="1" si="0"/>
        <v>485</v>
      </c>
      <c r="H11" s="435">
        <f t="shared" ca="1" si="1"/>
        <v>11640</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824"/>
      <c r="B12" s="334"/>
      <c r="C12" s="328" t="s">
        <v>153</v>
      </c>
      <c r="D12" s="176"/>
      <c r="E12" s="432">
        <f>COUNTIFS(Table1351452010[[#All],[Sales]],"คุณจิรภิญญา เป็นปึก",Table1351452010[[#All],[แบ่งจ่าย/งวด
(ตามปีสัญญา)]],"&gt;0")</f>
        <v>0</v>
      </c>
      <c r="F12" s="433">
        <f ca="1">SUMIF(Table1351452010[[#All],[Sales]],"คุณจิรภิญญา เป็นปึก",Table1351452010[[#Headers],[Total
รายการเบิก
คอมขาย
(1)]])</f>
        <v>0</v>
      </c>
      <c r="G12" s="434">
        <f t="shared" ca="1" si="0"/>
        <v>0</v>
      </c>
      <c r="H12" s="435">
        <f t="shared" ca="1" si="1"/>
        <v>0</v>
      </c>
      <c r="I12" s="358"/>
      <c r="J12" s="358"/>
      <c r="K12" s="358"/>
      <c r="L12" s="358"/>
      <c r="M12" s="351"/>
      <c r="N12" s="352"/>
      <c r="O12" s="351"/>
      <c r="P12" s="351"/>
      <c r="Q12" s="351"/>
      <c r="IX12" s="361"/>
      <c r="IY12" s="346" t="s">
        <v>153</v>
      </c>
      <c r="IZ12" s="346"/>
      <c r="JA12" s="346"/>
      <c r="JB12" s="346"/>
      <c r="JC12" s="346"/>
      <c r="JD12" s="346"/>
      <c r="JE12" s="361"/>
    </row>
    <row r="13" spans="1:265" s="175" customFormat="1" ht="19.95" customHeight="1">
      <c r="A13" s="824"/>
      <c r="B13" s="334"/>
      <c r="C13" s="328" t="s">
        <v>72</v>
      </c>
      <c r="D13" s="176"/>
      <c r="E13" s="432">
        <f>COUNTIFS(Table1351452010[[#All],[Sales]],"คุณแดง มูลสองแคว",Table1351452010[[#All],[แบ่งจ่าย/งวด
(ตามปีสัญญา)]],"&gt;0")</f>
        <v>0</v>
      </c>
      <c r="F13" s="433">
        <f ca="1">SUMIF(Table1351452010[[#All],[Sales]],"คุณแดง มูลสองแคว",Table1351452010[[#Headers],[Total
รายการเบิก
คอมขาย
(1)]])</f>
        <v>0</v>
      </c>
      <c r="G13" s="434">
        <f t="shared" ca="1" si="0"/>
        <v>0</v>
      </c>
      <c r="H13" s="435">
        <f t="shared" ca="1"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c r="A14" s="824"/>
      <c r="B14" s="334"/>
      <c r="C14" s="328" t="s">
        <v>68</v>
      </c>
      <c r="D14" s="176"/>
      <c r="E14" s="432">
        <f>COUNTIFS(Table1351452010[[#All],[Sales]],"คุณศศินาถ จุ้ยอยู่ทอง",Table1351452010[[#All],[แบ่งจ่าย/งวด
(ตามปีสัญญา)]],"&gt;0")</f>
        <v>0</v>
      </c>
      <c r="F14" s="433">
        <f ca="1">SUMIF(Table1351452010[[#All],[Sales]],"คุณศศินาถ จุ้ยอยู่ทอง",Table1351452010[[#Headers],[Total
รายการเบิก
คอมขาย
(1)]])</f>
        <v>0</v>
      </c>
      <c r="G14" s="434">
        <f t="shared" ca="1" si="0"/>
        <v>0</v>
      </c>
      <c r="H14" s="435">
        <f t="shared" ca="1" si="1"/>
        <v>0</v>
      </c>
      <c r="I14" s="358"/>
      <c r="J14" s="358"/>
      <c r="K14" s="358"/>
      <c r="L14" s="358"/>
      <c r="M14" s="351"/>
      <c r="N14" s="352"/>
      <c r="O14" s="351"/>
      <c r="P14" s="351"/>
      <c r="Q14" s="351"/>
      <c r="IX14" s="361"/>
      <c r="IY14" s="346" t="s">
        <v>68</v>
      </c>
      <c r="IZ14" s="346"/>
      <c r="JA14" s="346"/>
      <c r="JB14" s="346"/>
      <c r="JC14" s="346"/>
      <c r="JD14" s="346"/>
      <c r="JE14" s="361"/>
    </row>
    <row r="15" spans="1:265" s="175" customFormat="1" ht="19.95" customHeight="1">
      <c r="A15" s="824"/>
      <c r="B15" s="334"/>
      <c r="C15" s="328" t="s">
        <v>67</v>
      </c>
      <c r="D15" s="176"/>
      <c r="E15" s="432">
        <f>COUNTIFS(Table1351452010[[#All],[Sales]],"คุณรุ่งอรุณ อินบุญรอด",Table1351452010[[#All],[แบ่งจ่าย/งวด
(ตามปีสัญญา)]],"&gt;0")</f>
        <v>1</v>
      </c>
      <c r="F15" s="433">
        <v>1584</v>
      </c>
      <c r="G15" s="434">
        <f t="shared" si="0"/>
        <v>63.36</v>
      </c>
      <c r="H15" s="435">
        <f t="shared" si="1"/>
        <v>1520.64</v>
      </c>
      <c r="I15" s="358"/>
      <c r="J15" s="358"/>
      <c r="K15" s="358"/>
      <c r="L15" s="358"/>
      <c r="M15" s="351">
        <f>2280.96/2</f>
        <v>1140.48</v>
      </c>
      <c r="N15" s="351">
        <f>2280.96/2</f>
        <v>1140.48</v>
      </c>
      <c r="O15" s="351"/>
      <c r="P15" s="351"/>
      <c r="Q15" s="351"/>
      <c r="IX15" s="361"/>
      <c r="IY15" s="346" t="s">
        <v>67</v>
      </c>
      <c r="IZ15" s="346"/>
      <c r="JA15" s="346"/>
      <c r="JB15" s="346"/>
      <c r="JC15" s="346"/>
      <c r="JD15" s="346"/>
      <c r="JE15" s="361"/>
    </row>
    <row r="16" spans="1:265" s="175" customFormat="1" ht="19.95" customHeight="1">
      <c r="A16" s="824"/>
      <c r="B16" s="334"/>
      <c r="C16" s="328" t="s">
        <v>69</v>
      </c>
      <c r="D16" s="176"/>
      <c r="E16" s="432">
        <f>COUNTIFS(Table1351452010[[#All],[Sales]],"คุณธัญลักษณ์ หมื่นหลุบกุง",Table1351452010[[#All],[แบ่งจ่าย/งวด
(ตามปีสัญญา)]],"&gt;0")</f>
        <v>0</v>
      </c>
      <c r="F16" s="433">
        <f ca="1">SUMIF(Table1351452010[[#All],[Sales]],"คุณธัญลักษณ์ หมื่นหลุบกุง",Table1351452010[[#Headers],[Total
รายการเบิก
คอมขาย
(1)]])</f>
        <v>0</v>
      </c>
      <c r="G16" s="434">
        <f ca="1">F16*$G$3</f>
        <v>0</v>
      </c>
      <c r="H16" s="436">
        <f ca="1">F16-G16</f>
        <v>0</v>
      </c>
      <c r="I16" s="358"/>
      <c r="J16" s="358"/>
      <c r="K16" s="358"/>
      <c r="L16" s="358"/>
      <c r="M16" s="349"/>
      <c r="N16" s="352"/>
      <c r="O16" s="351"/>
      <c r="P16" s="351"/>
      <c r="Q16" s="351"/>
      <c r="IX16" s="361"/>
      <c r="IY16" s="346" t="s">
        <v>69</v>
      </c>
      <c r="IZ16" s="346"/>
      <c r="JA16" s="346"/>
      <c r="JB16" s="346"/>
      <c r="JC16" s="346"/>
      <c r="JD16" s="346"/>
      <c r="JE16" s="361"/>
    </row>
    <row r="17" spans="1:265" s="175" customFormat="1" ht="19.95" customHeight="1">
      <c r="A17" s="824"/>
      <c r="B17" s="334"/>
      <c r="C17" s="328" t="s">
        <v>90</v>
      </c>
      <c r="D17" s="176"/>
      <c r="E17" s="432">
        <f>COUNTIFS(Table1351452010[[#All],[Sales]],"คุณณรงศ์ศักย์ เหล่ารัตนเวช",Table1351452010[[#All],[แบ่งจ่าย/งวด
(ตามปีสัญญา)]],"&gt;0")</f>
        <v>0</v>
      </c>
      <c r="F17" s="433">
        <f ca="1">SUMIF(Table1351452010[[#All],[Sales]],"คุณณรงศ์ศักย์ เหล่ารัตนเวช",Table1351452010[[#Headers],[Total
รายการเบิก
คอมขาย
(1)]])</f>
        <v>0</v>
      </c>
      <c r="G17" s="434">
        <f ca="1">F17*$G$3</f>
        <v>0</v>
      </c>
      <c r="H17" s="436">
        <f ca="1">F17-G17</f>
        <v>0</v>
      </c>
      <c r="I17" s="358"/>
      <c r="J17" s="358"/>
      <c r="K17" s="358"/>
      <c r="L17" s="358"/>
      <c r="M17" s="349"/>
      <c r="N17" s="352"/>
      <c r="O17" s="351"/>
      <c r="P17" s="351"/>
      <c r="Q17" s="351"/>
      <c r="IX17" s="361"/>
      <c r="IY17" s="346" t="s">
        <v>90</v>
      </c>
      <c r="IZ17" s="346"/>
      <c r="JA17" s="346"/>
      <c r="JB17" s="346"/>
      <c r="JC17" s="346"/>
      <c r="JD17" s="346"/>
      <c r="JE17" s="361"/>
    </row>
    <row r="18" spans="1:265" s="175" customFormat="1" ht="19.95" customHeight="1" thickBot="1">
      <c r="A18" s="437"/>
      <c r="B18" s="438"/>
      <c r="C18" s="439" t="s">
        <v>21</v>
      </c>
      <c r="D18" s="440"/>
      <c r="E18" s="441">
        <f>COUNTIFS(Table1351452010[[#All],[Sales]],"คุณจันทราภรณ์ สุภาพวนิช",Table1351452010[[#All],[แบ่งจ่าย/งวด
(ตามปีสัญญา)]],"&gt;0")</f>
        <v>0</v>
      </c>
      <c r="F18" s="442">
        <v>5886.93</v>
      </c>
      <c r="G18" s="443">
        <f>F18*$G$3</f>
        <v>235.47720000000001</v>
      </c>
      <c r="H18" s="444">
        <f>F18-G18</f>
        <v>5651.4528</v>
      </c>
      <c r="I18" s="358"/>
      <c r="J18" s="358"/>
      <c r="K18" s="358"/>
      <c r="L18" s="358"/>
      <c r="M18" s="349"/>
      <c r="N18" s="352"/>
      <c r="O18" s="351"/>
      <c r="P18" s="351"/>
      <c r="Q18" s="351"/>
      <c r="IX18" s="361"/>
      <c r="IY18" s="346" t="s">
        <v>21</v>
      </c>
      <c r="IZ18" s="346"/>
      <c r="JA18" s="346"/>
      <c r="JB18" s="346"/>
      <c r="JC18" s="346"/>
      <c r="JD18" s="346"/>
      <c r="JE18" s="361"/>
    </row>
    <row r="19" spans="1:265" s="177" customFormat="1" ht="19.95" customHeight="1">
      <c r="A19" s="449">
        <v>2</v>
      </c>
      <c r="B19" s="450" t="s">
        <v>143</v>
      </c>
      <c r="C19" s="426" t="s">
        <v>70</v>
      </c>
      <c r="D19" s="829" t="s">
        <v>148</v>
      </c>
      <c r="E19" s="451">
        <f>COUNTIFS(Table1351452010[[#All],[Sales]],"คุณนิมิต จุ้ยอยู่ทอง",Table1351452010[[#All],[ค่าเชื่อมสัญญาณ/
ค่าติดตั้ง/
ค่าขายอุปกรณ์]],"&gt;1")</f>
        <v>0</v>
      </c>
      <c r="F19" s="452">
        <f>SUMIF(Table1351452010[[#All],[Sales]],"คุณนิมิต จุ้ยอยู่ทอง",Table1351452010[[#All],[Total
ค่าเชื่มสัญญาณ/ค่าติดตั้ง/
ค่าขายอุปกรณ์
(2)]])</f>
        <v>0</v>
      </c>
      <c r="G19" s="430">
        <v>0</v>
      </c>
      <c r="H19" s="431">
        <f>F19-G19</f>
        <v>0</v>
      </c>
      <c r="I19" s="797" t="s">
        <v>189</v>
      </c>
      <c r="J19" s="359"/>
      <c r="K19" s="358"/>
      <c r="L19" s="358"/>
      <c r="M19" s="381"/>
      <c r="N19" s="361"/>
      <c r="O19" s="383"/>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5"/>
      <c r="IY19" s="355" t="s">
        <v>191</v>
      </c>
      <c r="IZ19" s="355"/>
      <c r="JA19" s="355"/>
      <c r="JB19" s="355"/>
      <c r="JC19" s="355"/>
      <c r="JD19" s="355"/>
      <c r="JE19" s="384"/>
    </row>
    <row r="20" spans="1:265" s="179" customFormat="1" ht="19.95" customHeight="1">
      <c r="A20" s="453"/>
      <c r="B20" s="333" t="s">
        <v>144</v>
      </c>
      <c r="C20" s="328" t="s">
        <v>71</v>
      </c>
      <c r="D20" s="830" t="s">
        <v>149</v>
      </c>
      <c r="E20" s="454">
        <f>COUNTIFS(Table1351452010[[#All],[Sales]],"คุณธวัช มีแสง",Table1351452010[[#All],[ค่าเชื่อมสัญญาณ/
ค่าติดตั้ง/
ค่าขายอุปกรณ์]],"&gt;1")</f>
        <v>0</v>
      </c>
      <c r="F20" s="455">
        <f>SUMIF(Table1351452010[[#All],[Sales]],"คุณธวัช มีแสง",Table1351452010[[#All],[Total
ค่าเชื่มสัญญาณ/ค่าติดตั้ง/
ค่าขายอุปกรณ์
(2)]])</f>
        <v>0</v>
      </c>
      <c r="G20" s="434">
        <v>0</v>
      </c>
      <c r="H20" s="436">
        <f t="shared" ref="H20:H32" si="2">F20-G20</f>
        <v>0</v>
      </c>
      <c r="I20" s="359"/>
      <c r="J20" s="359"/>
      <c r="K20" s="358"/>
      <c r="L20" s="358"/>
      <c r="M20" s="38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5"/>
      <c r="IQ20" s="385"/>
      <c r="IR20" s="385"/>
      <c r="IS20" s="385"/>
      <c r="IT20" s="385"/>
      <c r="IU20" s="385"/>
      <c r="IV20" s="385"/>
      <c r="IW20" s="385"/>
      <c r="IX20" s="385"/>
      <c r="IY20" s="346" t="s">
        <v>70</v>
      </c>
      <c r="IZ20" s="346"/>
      <c r="JA20" s="346"/>
      <c r="JB20" s="346"/>
      <c r="JC20" s="346"/>
      <c r="JD20" s="346"/>
      <c r="JE20" s="385"/>
    </row>
    <row r="21" spans="1:265" s="179" customFormat="1" ht="19.95" customHeight="1">
      <c r="A21" s="453"/>
      <c r="B21" s="333" t="s">
        <v>145</v>
      </c>
      <c r="C21" s="328" t="s">
        <v>73</v>
      </c>
      <c r="D21" s="830" t="s">
        <v>150</v>
      </c>
      <c r="E21" s="454">
        <f>COUNTIFS(Table1351452010[[#All],[Sales]],"คุณนิยนต์ อยู่ทะเล",Table1351452010[[#All],[ค่าเชื่อมสัญญาณ/
ค่าติดตั้ง/
ค่าขายอุปกรณ์]],"&gt;1")</f>
        <v>0</v>
      </c>
      <c r="F21" s="455">
        <f>SUMIF(Table1351452010[[#All],[Sales]],"คุณนิยนต์ อยู่ทะเล",Table1351452010[[#All],[Total
ค่าเชื่มสัญญาณ/ค่าติดตั้ง/
ค่าขายอุปกรณ์
(2)]])</f>
        <v>0</v>
      </c>
      <c r="G21" s="434">
        <v>0</v>
      </c>
      <c r="H21" s="436">
        <f t="shared" si="2"/>
        <v>0</v>
      </c>
      <c r="I21" s="359"/>
      <c r="J21" s="359"/>
      <c r="K21" s="359"/>
      <c r="L21" s="359"/>
      <c r="M21" s="38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5"/>
      <c r="IQ21" s="385"/>
      <c r="IR21" s="385"/>
      <c r="IS21" s="385"/>
      <c r="IT21" s="385"/>
      <c r="IU21" s="385"/>
      <c r="IV21" s="385"/>
      <c r="IW21" s="385"/>
      <c r="IX21" s="385"/>
      <c r="IY21" s="346" t="s">
        <v>71</v>
      </c>
      <c r="IZ21" s="346"/>
      <c r="JA21" s="346"/>
      <c r="JB21" s="346"/>
      <c r="JC21" s="346"/>
      <c r="JD21" s="346"/>
      <c r="JE21" s="385"/>
    </row>
    <row r="22" spans="1:265" s="179" customFormat="1" ht="19.95" customHeight="1">
      <c r="A22" s="453"/>
      <c r="B22" s="333" t="s">
        <v>40</v>
      </c>
      <c r="C22" s="328" t="s">
        <v>74</v>
      </c>
      <c r="D22" s="178"/>
      <c r="E22" s="454">
        <f>COUNTIFS(Table1351452010[[#All],[Sales]],"คุณจินตนา อ้อยหวาน",Table1351452010[[#All],[ค่าเชื่อมสัญญาณ/
ค่าติดตั้ง/
ค่าขายอุปกรณ์]],"&gt;1")</f>
        <v>0</v>
      </c>
      <c r="F22" s="455">
        <f>SUMIF(Table1351452010[[#All],[Sales]],"คุณจินตนา อ้อยหวาน",Table1351452010[[#All],[Total
ค่าเชื่มสัญญาณ/ค่าติดตั้ง/
ค่าขายอุปกรณ์
(2)]])</f>
        <v>0</v>
      </c>
      <c r="G22" s="434">
        <v>0</v>
      </c>
      <c r="H22" s="436">
        <f t="shared" si="2"/>
        <v>0</v>
      </c>
      <c r="I22" s="359"/>
      <c r="J22" s="359"/>
      <c r="K22" s="359"/>
      <c r="L22" s="359"/>
      <c r="M22" s="746"/>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5"/>
      <c r="IQ22" s="385"/>
      <c r="IR22" s="385"/>
      <c r="IS22" s="385"/>
      <c r="IT22" s="385"/>
      <c r="IU22" s="385"/>
      <c r="IV22" s="385"/>
      <c r="IW22" s="385"/>
      <c r="IX22" s="385"/>
      <c r="IY22" s="346" t="s">
        <v>73</v>
      </c>
      <c r="IZ22" s="346"/>
      <c r="JA22" s="346"/>
      <c r="JB22" s="346"/>
      <c r="JC22" s="346"/>
      <c r="JD22" s="346"/>
      <c r="JE22" s="385"/>
    </row>
    <row r="23" spans="1:265" s="179" customFormat="1" ht="19.95" customHeight="1">
      <c r="A23" s="453"/>
      <c r="B23" s="333"/>
      <c r="C23" s="328" t="s">
        <v>75</v>
      </c>
      <c r="D23" s="178"/>
      <c r="E23" s="454">
        <f>COUNTIFS(Table1351452010[[#All],[Sales]],"คุณพัชรพรรณ พึ่งพา",Table1351452010[[#All],[ค่าเชื่อมสัญญาณ/
ค่าติดตั้ง/
ค่าขายอุปกรณ์]],"&gt;1")</f>
        <v>1</v>
      </c>
      <c r="F23" s="455">
        <v>2037</v>
      </c>
      <c r="G23" s="434">
        <v>0</v>
      </c>
      <c r="H23" s="436">
        <f t="shared" si="2"/>
        <v>2037</v>
      </c>
      <c r="I23" s="359"/>
      <c r="J23" s="359"/>
      <c r="K23" s="359"/>
      <c r="L23" s="359"/>
      <c r="M23" s="381"/>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5"/>
      <c r="IQ23" s="385"/>
      <c r="IR23" s="385"/>
      <c r="IS23" s="385"/>
      <c r="IT23" s="385"/>
      <c r="IU23" s="385"/>
      <c r="IV23" s="385"/>
      <c r="IW23" s="385"/>
      <c r="IX23" s="385"/>
      <c r="IY23" s="346" t="s">
        <v>74</v>
      </c>
      <c r="IZ23" s="346"/>
      <c r="JA23" s="346"/>
      <c r="JB23" s="346"/>
      <c r="JC23" s="346"/>
      <c r="JD23" s="346"/>
      <c r="JE23" s="385"/>
    </row>
    <row r="24" spans="1:265" s="179" customFormat="1" ht="19.95" customHeight="1">
      <c r="A24" s="453"/>
      <c r="B24" s="333"/>
      <c r="C24" s="328" t="s">
        <v>154</v>
      </c>
      <c r="D24" s="178"/>
      <c r="E24" s="454">
        <f>COUNTIFS(Table1351452010[[#All],[Sales]],"คุณนรินทร์ ปิงมูล",Table1351452010[[#All],[ค่าเชื่อมสัญญาณ/
ค่าติดตั้ง/
ค่าขายอุปกรณ์]],"&gt;1")</f>
        <v>0</v>
      </c>
      <c r="F24" s="455">
        <f>SUMIF(Table1351452010[[#All],[Sales]],"คุณนรินทร์ ปิงมูล",Table1351452010[[#All],[Total
ค่าเชื่มสัญญาณ/ค่าติดตั้ง/
ค่าขายอุปกรณ์
(2)]])</f>
        <v>0</v>
      </c>
      <c r="G24" s="434">
        <v>0</v>
      </c>
      <c r="H24" s="436">
        <f t="shared" si="2"/>
        <v>0</v>
      </c>
      <c r="I24" s="359"/>
      <c r="J24" s="359"/>
      <c r="K24" s="359"/>
      <c r="L24" s="359"/>
      <c r="M24" s="38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5"/>
      <c r="IQ24" s="385"/>
      <c r="IR24" s="385"/>
      <c r="IS24" s="385"/>
      <c r="IT24" s="385"/>
      <c r="IU24" s="385"/>
      <c r="IV24" s="385"/>
      <c r="IW24" s="385"/>
      <c r="IX24" s="385"/>
      <c r="IY24" s="346" t="s">
        <v>75</v>
      </c>
      <c r="IZ24" s="346"/>
      <c r="JA24" s="346"/>
      <c r="JB24" s="346"/>
      <c r="JC24" s="346"/>
      <c r="JD24" s="346"/>
      <c r="JE24" s="385"/>
    </row>
    <row r="25" spans="1:265" s="179" customFormat="1" ht="19.95" customHeight="1">
      <c r="A25" s="453"/>
      <c r="B25" s="333"/>
      <c r="C25" s="328" t="s">
        <v>130</v>
      </c>
      <c r="D25" s="178"/>
      <c r="E25" s="454">
        <f>COUNTIFS(Table1351452010[[#All],[Sales]],"คุณชนัฐฎา สนคะมี",Table1351452010[[#All],[ค่าเชื่อมสัญญาณ/
ค่าติดตั้ง/
ค่าขายอุปกรณ์]],"&gt;1")</f>
        <v>1</v>
      </c>
      <c r="F25" s="455">
        <f>SUMIF(Table1351452010[[#All],[Sales]],"คุณชนัฐฎา สนคะมี",Table1351452010[[#All],[Total
ค่าเชื่มสัญญาณ/ค่าติดตั้ง/
ค่าขายอุปกรณ์
(2)]])</f>
        <v>606.25</v>
      </c>
      <c r="G25" s="434">
        <v>0</v>
      </c>
      <c r="H25" s="436">
        <f t="shared" si="2"/>
        <v>606.25</v>
      </c>
      <c r="I25" s="359"/>
      <c r="J25" s="359"/>
      <c r="K25" s="359"/>
      <c r="L25" s="359"/>
      <c r="M25" s="381"/>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85"/>
      <c r="IQ25" s="385"/>
      <c r="IR25" s="385"/>
      <c r="IS25" s="385"/>
      <c r="IT25" s="385"/>
      <c r="IU25" s="385"/>
      <c r="IV25" s="385"/>
      <c r="IW25" s="385"/>
      <c r="IX25" s="385"/>
      <c r="IY25" s="346" t="s">
        <v>154</v>
      </c>
      <c r="IZ25" s="346"/>
      <c r="JA25" s="346"/>
      <c r="JB25" s="346"/>
      <c r="JC25" s="346"/>
      <c r="JD25" s="346"/>
      <c r="JE25" s="385"/>
    </row>
    <row r="26" spans="1:265" s="179" customFormat="1" ht="19.95" customHeight="1">
      <c r="A26" s="453"/>
      <c r="B26" s="333"/>
      <c r="C26" s="328" t="s">
        <v>153</v>
      </c>
      <c r="D26" s="178"/>
      <c r="E26" s="454">
        <f>COUNTIFS(Table1351452010[[#All],[Sales]],"คุณจิรภิญญา เป็นปึก",Table1351452010[[#All],[ค่าเชื่อมสัญญาณ/
ค่าติดตั้ง/
ค่าขายอุปกรณ์]],"&gt;1")</f>
        <v>0</v>
      </c>
      <c r="F26" s="455">
        <f>SUMIF(Table1351452010[[#All],[Sales]],"คุณจิรภิญญา เป็นปึก",Table1351452010[[#All],[Total
ค่าเชื่มสัญญาณ/ค่าติดตั้ง/
ค่าขายอุปกรณ์
(2)]])</f>
        <v>0</v>
      </c>
      <c r="G26" s="434">
        <v>0</v>
      </c>
      <c r="H26" s="436">
        <f t="shared" si="2"/>
        <v>0</v>
      </c>
      <c r="I26" s="359"/>
      <c r="J26" s="359"/>
      <c r="K26" s="359"/>
      <c r="L26" s="359"/>
      <c r="M26" s="381"/>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85"/>
      <c r="IQ26" s="385"/>
      <c r="IR26" s="385"/>
      <c r="IS26" s="385"/>
      <c r="IT26" s="385"/>
      <c r="IU26" s="385"/>
      <c r="IV26" s="385"/>
      <c r="IW26" s="385"/>
      <c r="IX26" s="385"/>
      <c r="IY26" s="346" t="s">
        <v>130</v>
      </c>
      <c r="IZ26" s="346"/>
      <c r="JA26" s="346"/>
      <c r="JB26" s="346"/>
      <c r="JC26" s="346"/>
      <c r="JD26" s="346"/>
      <c r="JE26" s="385"/>
    </row>
    <row r="27" spans="1:265" s="179" customFormat="1" ht="19.95" customHeight="1">
      <c r="A27" s="453"/>
      <c r="B27" s="333"/>
      <c r="C27" s="328" t="s">
        <v>72</v>
      </c>
      <c r="D27" s="178"/>
      <c r="E27" s="454">
        <f>COUNTIFS(Table1351452010[[#All],[Sales]],"คุณแดง มูลสองแคว",Table1351452010[[#All],[ค่าเชื่อมสัญญาณ/
ค่าติดตั้ง/
ค่าขายอุปกรณ์]],"&gt;1")</f>
        <v>0</v>
      </c>
      <c r="F27" s="455">
        <f>SUMIF(Table1351452010[[#All],[Sales]],"คุณแดง มูลสองแคว",Table1351452010[[#All],[Total
ค่าเชื่มสัญญาณ/ค่าติดตั้ง/
ค่าขายอุปกรณ์
(2)]])</f>
        <v>0</v>
      </c>
      <c r="G27" s="434">
        <v>0</v>
      </c>
      <c r="H27" s="436">
        <f t="shared" si="2"/>
        <v>0</v>
      </c>
      <c r="I27" s="359"/>
      <c r="J27" s="359"/>
      <c r="K27" s="359"/>
      <c r="L27" s="359"/>
      <c r="M27" s="381"/>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85"/>
      <c r="IQ27" s="385"/>
      <c r="IR27" s="385"/>
      <c r="IS27" s="385"/>
      <c r="IT27" s="385"/>
      <c r="IU27" s="385"/>
      <c r="IV27" s="385"/>
      <c r="IW27" s="385"/>
      <c r="IX27" s="385"/>
      <c r="IY27" s="346" t="s">
        <v>153</v>
      </c>
      <c r="IZ27" s="346"/>
      <c r="JA27" s="346"/>
      <c r="JB27" s="346"/>
      <c r="JC27" s="346"/>
      <c r="JD27" s="346"/>
      <c r="JE27" s="385"/>
    </row>
    <row r="28" spans="1:265" s="179" customFormat="1" ht="19.95" customHeight="1">
      <c r="A28" s="453"/>
      <c r="B28" s="334"/>
      <c r="C28" s="328" t="s">
        <v>68</v>
      </c>
      <c r="D28" s="178"/>
      <c r="E28" s="454">
        <f>COUNTIFS(Table1351452010[[#All],[Sales]],"คุณศศินาถ จุ้ยอยู่ทอง",Table1351452010[[#All],[ค่าเชื่อมสัญญาณ/
ค่าติดตั้ง/
ค่าขายอุปกรณ์]],"&gt;1")</f>
        <v>0</v>
      </c>
      <c r="F28" s="455">
        <f>SUMIF(Table1351452010[[#All],[Sales]],"คุณศศินาถ จุ้ยอยู่ทอง",Table1351452010[[#All],[Total
ค่าเชื่มสัญญาณ/ค่าติดตั้ง/
ค่าขายอุปกรณ์
(2)]])</f>
        <v>0</v>
      </c>
      <c r="G28" s="434">
        <v>0</v>
      </c>
      <c r="H28" s="436">
        <f t="shared" si="2"/>
        <v>0</v>
      </c>
      <c r="I28" s="359"/>
      <c r="J28" s="359"/>
      <c r="K28" s="359"/>
      <c r="L28" s="359"/>
      <c r="M28" s="38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85"/>
      <c r="IQ28" s="385"/>
      <c r="IR28" s="385"/>
      <c r="IS28" s="385"/>
      <c r="IT28" s="385"/>
      <c r="IU28" s="385"/>
      <c r="IV28" s="385"/>
      <c r="IW28" s="385"/>
      <c r="IX28" s="385"/>
      <c r="IY28" s="346" t="s">
        <v>72</v>
      </c>
      <c r="IZ28" s="346"/>
      <c r="JA28" s="346"/>
      <c r="JB28" s="346"/>
      <c r="JC28" s="346"/>
      <c r="JD28" s="346"/>
      <c r="JE28" s="385"/>
    </row>
    <row r="29" spans="1:265" s="179" customFormat="1" ht="19.95" customHeight="1">
      <c r="A29" s="453"/>
      <c r="B29" s="335"/>
      <c r="C29" s="328" t="s">
        <v>67</v>
      </c>
      <c r="D29" s="178"/>
      <c r="E29" s="454">
        <f>COUNTIFS(Table1351452010[[#All],[Sales]],"คุณรุ่งอรุณ อินบุญรอด",Table1351452010[[#All],[ค่าเชื่อมสัญญาณ/
ค่าติดตั้ง/
ค่าขายอุปกรณ์]],"&gt;1")</f>
        <v>0</v>
      </c>
      <c r="F29" s="455">
        <f>SUMIF(Table1351452010[[#All],[Sales]],"คุณรุ่งอรุณ อินบุญรอด",Table1351452010[[#All],[Total
ค่าเชื่มสัญญาณ/ค่าติดตั้ง/
ค่าขายอุปกรณ์
(2)]])</f>
        <v>0</v>
      </c>
      <c r="G29" s="434">
        <v>0</v>
      </c>
      <c r="H29" s="436">
        <f t="shared" si="2"/>
        <v>0</v>
      </c>
      <c r="I29" s="359"/>
      <c r="J29" s="359"/>
      <c r="K29" s="359"/>
      <c r="L29" s="359"/>
      <c r="M29" s="38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85"/>
      <c r="IQ29" s="385"/>
      <c r="IR29" s="385"/>
      <c r="IS29" s="385"/>
      <c r="IT29" s="385"/>
      <c r="IU29" s="385"/>
      <c r="IV29" s="385"/>
      <c r="IW29" s="385"/>
      <c r="IX29" s="385"/>
      <c r="IY29" s="346" t="s">
        <v>68</v>
      </c>
      <c r="IZ29" s="346"/>
      <c r="JA29" s="346"/>
      <c r="JB29" s="346"/>
      <c r="JC29" s="346"/>
      <c r="JD29" s="346"/>
      <c r="JE29" s="385"/>
    </row>
    <row r="30" spans="1:265" s="179" customFormat="1" ht="19.95" customHeight="1">
      <c r="A30" s="453"/>
      <c r="B30" s="335"/>
      <c r="C30" s="328" t="s">
        <v>69</v>
      </c>
      <c r="D30" s="178"/>
      <c r="E30" s="454">
        <f>COUNTIFS(Table1351452010[[#All],[Sales]],"คุณธัญลักษณ์ หมื่นหลุบกุง",Table1351452010[[#All],[ค่าเชื่อมสัญญาณ/
ค่าติดตั้ง/
ค่าขายอุปกรณ์]],"&gt;1")</f>
        <v>0</v>
      </c>
      <c r="F30" s="455">
        <f>SUMIF(Table1351452010[[#All],[Sales]],"คุณธัญลักษณ์ หมื่นหลุบกุง",Table1351452010[[#All],[Total
ค่าเชื่มสัญญาณ/ค่าติดตั้ง/
ค่าขายอุปกรณ์
(2)]])</f>
        <v>0</v>
      </c>
      <c r="G30" s="434">
        <v>0</v>
      </c>
      <c r="H30" s="436">
        <f t="shared" si="2"/>
        <v>0</v>
      </c>
      <c r="I30" s="359"/>
      <c r="J30" s="359"/>
      <c r="K30" s="359"/>
      <c r="L30" s="359"/>
      <c r="M30" s="381"/>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85"/>
      <c r="IQ30" s="385"/>
      <c r="IR30" s="385"/>
      <c r="IS30" s="385"/>
      <c r="IT30" s="385"/>
      <c r="IU30" s="385"/>
      <c r="IV30" s="385"/>
      <c r="IW30" s="385"/>
      <c r="IX30" s="385"/>
      <c r="IY30" s="346" t="s">
        <v>67</v>
      </c>
      <c r="IZ30" s="346"/>
      <c r="JA30" s="346"/>
      <c r="JB30" s="346"/>
      <c r="JC30" s="346"/>
      <c r="JD30" s="346"/>
      <c r="JE30" s="385"/>
    </row>
    <row r="31" spans="1:265" s="179" customFormat="1" ht="19.95" customHeight="1">
      <c r="A31" s="453"/>
      <c r="B31" s="335"/>
      <c r="C31" s="328" t="s">
        <v>90</v>
      </c>
      <c r="D31" s="178"/>
      <c r="E31" s="454">
        <f>COUNTIFS(Table1351452010[[#All],[Sales]],"คุณณรงศ์ศักย์ เหล่ารัตนเวช",Table1351452010[[#All],[ค่าเชื่อมสัญญาณ/
ค่าติดตั้ง/
ค่าขายอุปกรณ์]],"&gt;1")</f>
        <v>0</v>
      </c>
      <c r="F31" s="455">
        <f>SUMIF(Table1351452010[[#All],[Sales]],"คุณณรงศ์ศักย์ เหล่ารัตนเวช",Table1351452010[[#All],[Total
ค่าเชื่มสัญญาณ/ค่าติดตั้ง/
ค่าขายอุปกรณ์
(2)]])</f>
        <v>0</v>
      </c>
      <c r="G31" s="434">
        <v>0</v>
      </c>
      <c r="H31" s="436">
        <f t="shared" si="2"/>
        <v>0</v>
      </c>
      <c r="I31" s="359"/>
      <c r="J31" s="359"/>
      <c r="K31" s="359"/>
      <c r="L31" s="359"/>
      <c r="M31" s="381"/>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85"/>
      <c r="IQ31" s="385"/>
      <c r="IR31" s="385"/>
      <c r="IS31" s="385"/>
      <c r="IT31" s="385"/>
      <c r="IU31" s="385"/>
      <c r="IV31" s="385"/>
      <c r="IW31" s="385"/>
      <c r="IX31" s="385"/>
      <c r="IY31" s="346" t="s">
        <v>69</v>
      </c>
      <c r="IZ31" s="346"/>
      <c r="JA31" s="346"/>
      <c r="JB31" s="346"/>
      <c r="JC31" s="346"/>
      <c r="JD31" s="346"/>
      <c r="JE31" s="385"/>
    </row>
    <row r="32" spans="1:265" s="179" customFormat="1" ht="19.95" customHeight="1" thickBot="1">
      <c r="A32" s="456"/>
      <c r="B32" s="457"/>
      <c r="C32" s="439" t="s">
        <v>21</v>
      </c>
      <c r="D32" s="458"/>
      <c r="E32" s="459">
        <f>COUNTIFS(Table1351452010[[#All],[Sales]],"คุณจันทราภรณ์ สุภาพวนิช",Table1351452010[[#All],[ค่าเชื่อมสัญญาณ/
ค่าติดตั้ง/
ค่าขายอุปกรณ์]],"&gt;1")</f>
        <v>0</v>
      </c>
      <c r="F32" s="460">
        <v>4753</v>
      </c>
      <c r="G32" s="443">
        <v>0</v>
      </c>
      <c r="H32" s="444">
        <f t="shared" si="2"/>
        <v>4753</v>
      </c>
      <c r="I32" s="359"/>
      <c r="J32" s="359"/>
      <c r="K32" s="359"/>
      <c r="L32" s="359"/>
      <c r="M32" s="359"/>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85"/>
      <c r="IQ32" s="385"/>
      <c r="IR32" s="385"/>
      <c r="IS32" s="385"/>
      <c r="IT32" s="385"/>
      <c r="IU32" s="385"/>
      <c r="IV32" s="385"/>
      <c r="IW32" s="385"/>
      <c r="IX32" s="385"/>
      <c r="IY32" s="346" t="s">
        <v>90</v>
      </c>
      <c r="IZ32" s="346"/>
      <c r="JA32" s="346"/>
      <c r="JB32" s="346"/>
      <c r="JC32" s="346"/>
      <c r="JD32" s="346"/>
      <c r="JE32" s="385"/>
    </row>
    <row r="33" spans="1:265" s="175" customFormat="1" ht="19.95" customHeight="1">
      <c r="A33" s="449">
        <v>3</v>
      </c>
      <c r="B33" s="825" t="s">
        <v>146</v>
      </c>
      <c r="C33" s="426" t="s">
        <v>70</v>
      </c>
      <c r="D33" s="831" t="s">
        <v>151</v>
      </c>
      <c r="E33" s="451">
        <f>COUNTIFS(Table1351452010[[#All],[Sales]],"คุณนิมิต จุ้ยอยู่ทอง",Table1351452010[[#All],[Total 
คอมฯค่าเชื่อมสัญญาณ
(3)]],"&gt;1")</f>
        <v>0</v>
      </c>
      <c r="F33" s="452">
        <f>SUMIF(Table1351452010[[#All],[Sales]],"คุณนิมิต จุ้ยอยู่ทอง",Table1351452010[[#All],[Total 
คอมฯค่าเชื่อมสัญญาณ
(3)]])</f>
        <v>0</v>
      </c>
      <c r="G33" s="430">
        <v>0</v>
      </c>
      <c r="H33" s="431">
        <f>F33-G33</f>
        <v>0</v>
      </c>
      <c r="I33" s="797" t="s">
        <v>189</v>
      </c>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21</v>
      </c>
      <c r="IZ33" s="346"/>
      <c r="JA33" s="346"/>
      <c r="JB33" s="346"/>
      <c r="JC33" s="346"/>
      <c r="JD33" s="346"/>
      <c r="JE33" s="361"/>
    </row>
    <row r="34" spans="1:265" s="175" customFormat="1" ht="19.95" customHeight="1">
      <c r="A34" s="453"/>
      <c r="B34" s="826" t="s">
        <v>147</v>
      </c>
      <c r="C34" s="328" t="s">
        <v>71</v>
      </c>
      <c r="D34" s="832" t="s">
        <v>152</v>
      </c>
      <c r="E34" s="454">
        <f>COUNTIFS(Table1351452010[[#All],[Sales]],"คุณธวัช มีแสง",Table1351452010[[#All],[Total 
คอมฯค่าเชื่อมสัญญาณ
(3)]],"&gt;1")</f>
        <v>0</v>
      </c>
      <c r="F34" s="455">
        <f>SUMIF(Table1351452010[[#All],[Sales]],"คุณธวัช มีแสง",Table1351452010[[#All],[Total 
คอมฯค่าเชื่อมสัญญาณ
(3)]])</f>
        <v>0</v>
      </c>
      <c r="G34" s="434">
        <v>0</v>
      </c>
      <c r="H34" s="436">
        <f>F34-G34</f>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82" t="s">
        <v>192</v>
      </c>
      <c r="IZ34" s="382"/>
      <c r="JA34" s="382"/>
      <c r="JB34" s="382"/>
      <c r="JC34" s="382"/>
      <c r="JD34" s="382"/>
      <c r="JE34" s="361"/>
    </row>
    <row r="35" spans="1:265" s="175" customFormat="1" ht="19.95" customHeight="1">
      <c r="A35" s="453"/>
      <c r="B35" s="827"/>
      <c r="C35" s="328" t="s">
        <v>73</v>
      </c>
      <c r="D35" s="336"/>
      <c r="E35" s="454">
        <f>COUNTIFS(Table1351452010[[#All],[Sales]],"คุณนิยนต์ อยู่ทะเล",Table1351452010[[#All],[Total 
คอมฯค่าเชื่อมสัญญาณ
(3)]],"&gt;1")</f>
        <v>0</v>
      </c>
      <c r="F35" s="455">
        <f>SUMIF(Table1351452010[[#All],[Sales]],"คุณแดง มูลสองแคว",Table1351452010[[#All],[Total 
คอมฯค่าเชื่อมสัญญาณ
(3)]])</f>
        <v>0</v>
      </c>
      <c r="G35" s="434">
        <v>0</v>
      </c>
      <c r="H35" s="436">
        <f>F35-G35</f>
        <v>0</v>
      </c>
      <c r="I35" s="359"/>
      <c r="J35" s="359"/>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70</v>
      </c>
      <c r="IZ35" s="346"/>
      <c r="JA35" s="346"/>
      <c r="JB35" s="346"/>
      <c r="JC35" s="346"/>
      <c r="JD35" s="346"/>
      <c r="JE35" s="361"/>
    </row>
    <row r="36" spans="1:265" s="175" customFormat="1" ht="19.95" customHeight="1">
      <c r="A36" s="453"/>
      <c r="B36" s="827"/>
      <c r="C36" s="328" t="s">
        <v>74</v>
      </c>
      <c r="D36" s="336"/>
      <c r="E36" s="454">
        <f>COUNTIFS(Table1351452010[[#All],[Sales]],"คุณจินตนา อ้อยหวาน",Table1351452010[[#All],[Total 
คอมฯค่าเชื่อมสัญญาณ
(3)]],"&gt;1")</f>
        <v>0</v>
      </c>
      <c r="F36" s="455">
        <f>SUMIF(Table1351452010[[#All],[Sales]],"คุณจินตนา อ้อยหวาน",Table1351452010[[#All],[Total 
คอมฯค่าเชื่อมสัญญาณ
(3)]])</f>
        <v>0</v>
      </c>
      <c r="G36" s="434">
        <v>0</v>
      </c>
      <c r="H36" s="436">
        <f t="shared" ref="H36:H46" si="3">F36-G36</f>
        <v>0</v>
      </c>
      <c r="I36" s="359"/>
      <c r="J36" s="359"/>
      <c r="K36" s="359"/>
      <c r="L36" s="359"/>
      <c r="M36" s="360"/>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1"/>
      <c r="AL36" s="361"/>
      <c r="AM36" s="361"/>
      <c r="AN36" s="361"/>
      <c r="AO36" s="361"/>
      <c r="AP36" s="361"/>
      <c r="AQ36" s="361"/>
      <c r="AR36" s="361"/>
      <c r="AS36" s="361"/>
      <c r="AT36" s="361"/>
      <c r="AU36" s="361"/>
      <c r="AV36" s="361"/>
      <c r="AW36" s="361"/>
      <c r="AX36" s="361"/>
      <c r="AY36" s="361"/>
      <c r="AZ36" s="361"/>
      <c r="BA36" s="361"/>
      <c r="BB36" s="361"/>
      <c r="BC36" s="361"/>
      <c r="BD36" s="361"/>
      <c r="BE36" s="361"/>
      <c r="BF36" s="361"/>
      <c r="BG36" s="361"/>
      <c r="BH36" s="361"/>
      <c r="BI36" s="361"/>
      <c r="BJ36" s="361"/>
      <c r="BK36" s="361"/>
      <c r="BL36" s="361"/>
      <c r="BM36" s="361"/>
      <c r="BN36" s="361"/>
      <c r="BO36" s="361"/>
      <c r="BP36" s="361"/>
      <c r="BQ36" s="361"/>
      <c r="BR36" s="361"/>
      <c r="BS36" s="361"/>
      <c r="BT36" s="361"/>
      <c r="BU36" s="361"/>
      <c r="BV36" s="361"/>
      <c r="BW36" s="361"/>
      <c r="BX36" s="361"/>
      <c r="BY36" s="361"/>
      <c r="BZ36" s="361"/>
      <c r="CA36" s="361"/>
      <c r="CB36" s="361"/>
      <c r="CC36" s="361"/>
      <c r="CD36" s="361"/>
      <c r="CE36" s="361"/>
      <c r="CF36" s="361"/>
      <c r="CG36" s="361"/>
      <c r="CH36" s="361"/>
      <c r="CI36" s="361"/>
      <c r="CJ36" s="361"/>
      <c r="CK36" s="361"/>
      <c r="CL36" s="361"/>
      <c r="CM36" s="361"/>
      <c r="CN36" s="361"/>
      <c r="CO36" s="361"/>
      <c r="CP36" s="361"/>
      <c r="CQ36" s="361"/>
      <c r="CR36" s="361"/>
      <c r="CS36" s="361"/>
      <c r="CT36" s="361"/>
      <c r="CU36" s="361"/>
      <c r="CV36" s="361"/>
      <c r="CW36" s="361"/>
      <c r="CX36" s="361"/>
      <c r="CY36" s="361"/>
      <c r="CZ36" s="361"/>
      <c r="DA36" s="361"/>
      <c r="DB36" s="361"/>
      <c r="DC36" s="361"/>
      <c r="DD36" s="361"/>
      <c r="DE36" s="361"/>
      <c r="DF36" s="361"/>
      <c r="DG36" s="361"/>
      <c r="DH36" s="361"/>
      <c r="DI36" s="361"/>
      <c r="DJ36" s="361"/>
      <c r="DK36" s="361"/>
      <c r="DL36" s="361"/>
      <c r="DM36" s="361"/>
      <c r="DN36" s="361"/>
      <c r="DO36" s="361"/>
      <c r="DP36" s="361"/>
      <c r="DQ36" s="361"/>
      <c r="DR36" s="361"/>
      <c r="DS36" s="361"/>
      <c r="DT36" s="361"/>
      <c r="DU36" s="361"/>
      <c r="DV36" s="361"/>
      <c r="DW36" s="361"/>
      <c r="DX36" s="361"/>
      <c r="DY36" s="361"/>
      <c r="DZ36" s="361"/>
      <c r="EA36" s="361"/>
      <c r="EB36" s="361"/>
      <c r="EC36" s="361"/>
      <c r="ED36" s="361"/>
      <c r="EE36" s="361"/>
      <c r="EF36" s="361"/>
      <c r="EG36" s="361"/>
      <c r="EH36" s="361"/>
      <c r="EI36" s="361"/>
      <c r="EJ36" s="361"/>
      <c r="EK36" s="361"/>
      <c r="EL36" s="361"/>
      <c r="EM36" s="361"/>
      <c r="EN36" s="361"/>
      <c r="EO36" s="361"/>
      <c r="EP36" s="361"/>
      <c r="EQ36" s="361"/>
      <c r="ER36" s="361"/>
      <c r="ES36" s="361"/>
      <c r="ET36" s="361"/>
      <c r="EU36" s="361"/>
      <c r="EV36" s="361"/>
      <c r="EW36" s="361"/>
      <c r="EX36" s="361"/>
      <c r="EY36" s="361"/>
      <c r="EZ36" s="361"/>
      <c r="FA36" s="361"/>
      <c r="FB36" s="361"/>
      <c r="FC36" s="361"/>
      <c r="FD36" s="361"/>
      <c r="FE36" s="361"/>
      <c r="FF36" s="361"/>
      <c r="FG36" s="361"/>
      <c r="FH36" s="361"/>
      <c r="FI36" s="361"/>
      <c r="FJ36" s="361"/>
      <c r="FK36" s="361"/>
      <c r="FL36" s="361"/>
      <c r="FM36" s="361"/>
      <c r="FN36" s="361"/>
      <c r="FO36" s="361"/>
      <c r="FP36" s="361"/>
      <c r="FQ36" s="361"/>
      <c r="FR36" s="361"/>
      <c r="FS36" s="361"/>
      <c r="FT36" s="361"/>
      <c r="FU36" s="361"/>
      <c r="FV36" s="361"/>
      <c r="FW36" s="361"/>
      <c r="FX36" s="361"/>
      <c r="FY36" s="361"/>
      <c r="FZ36" s="361"/>
      <c r="GA36" s="361"/>
      <c r="GB36" s="361"/>
      <c r="GC36" s="361"/>
      <c r="GD36" s="361"/>
      <c r="GE36" s="361"/>
      <c r="GF36" s="361"/>
      <c r="GG36" s="361"/>
      <c r="GH36" s="361"/>
      <c r="GI36" s="361"/>
      <c r="GJ36" s="361"/>
      <c r="GK36" s="361"/>
      <c r="GL36" s="361"/>
      <c r="GM36" s="361"/>
      <c r="GN36" s="361"/>
      <c r="GO36" s="361"/>
      <c r="GP36" s="361"/>
      <c r="GQ36" s="361"/>
      <c r="GR36" s="361"/>
      <c r="GS36" s="361"/>
      <c r="GT36" s="361"/>
      <c r="GU36" s="361"/>
      <c r="GV36" s="361"/>
      <c r="GW36" s="361"/>
      <c r="GX36" s="361"/>
      <c r="GY36" s="361"/>
      <c r="GZ36" s="361"/>
      <c r="HA36" s="361"/>
      <c r="HB36" s="361"/>
      <c r="HC36" s="361"/>
      <c r="HD36" s="361"/>
      <c r="HE36" s="361"/>
      <c r="HF36" s="361"/>
      <c r="HG36" s="361"/>
      <c r="HH36" s="361"/>
      <c r="HI36" s="361"/>
      <c r="HJ36" s="361"/>
      <c r="HK36" s="361"/>
      <c r="HL36" s="361"/>
      <c r="HM36" s="361"/>
      <c r="HN36" s="361"/>
      <c r="HO36" s="361"/>
      <c r="HP36" s="361"/>
      <c r="HQ36" s="361"/>
      <c r="HR36" s="361"/>
      <c r="HS36" s="361"/>
      <c r="HT36" s="361"/>
      <c r="HU36" s="361"/>
      <c r="HV36" s="361"/>
      <c r="HW36" s="361"/>
      <c r="HX36" s="361"/>
      <c r="HY36" s="361"/>
      <c r="HZ36" s="361"/>
      <c r="IA36" s="361"/>
      <c r="IB36" s="361"/>
      <c r="IC36" s="361"/>
      <c r="ID36" s="361"/>
      <c r="IE36" s="361"/>
      <c r="IF36" s="361"/>
      <c r="IG36" s="361"/>
      <c r="IH36" s="361"/>
      <c r="II36" s="361"/>
      <c r="IJ36" s="361"/>
      <c r="IK36" s="361"/>
      <c r="IL36" s="361"/>
      <c r="IM36" s="361"/>
      <c r="IN36" s="361"/>
      <c r="IO36" s="361"/>
      <c r="IP36" s="361"/>
      <c r="IQ36" s="361"/>
      <c r="IR36" s="361"/>
      <c r="IS36" s="361"/>
      <c r="IT36" s="361"/>
      <c r="IU36" s="361"/>
      <c r="IV36" s="361"/>
      <c r="IW36" s="361"/>
      <c r="IX36" s="361"/>
      <c r="IY36" s="346" t="s">
        <v>71</v>
      </c>
      <c r="IZ36" s="346"/>
      <c r="JA36" s="346"/>
      <c r="JB36" s="346"/>
      <c r="JC36" s="346"/>
      <c r="JD36" s="346"/>
      <c r="JE36" s="361"/>
    </row>
    <row r="37" spans="1:265" s="175" customFormat="1" ht="19.95" customHeight="1">
      <c r="A37" s="453"/>
      <c r="B37" s="827"/>
      <c r="C37" s="328" t="s">
        <v>75</v>
      </c>
      <c r="D37" s="336"/>
      <c r="E37" s="454">
        <f>COUNTIFS(Table1351452010[[#All],[Sales]],"คุณพัชรพรรณ พึ่งพา",Table1351452010[[#All],[Total 
คอมฯค่าเชื่อมสัญญาณ
(3)]],"&gt;1")</f>
        <v>0</v>
      </c>
      <c r="F37" s="455">
        <f>SUMIF(Table1351452010[[#All],[Sales]],"คุณพัชรพรรณ พึ่งพา",Table1351452010[[#All],[Total 
คอมฯค่าเชื่อมสัญญาณ
(3)]])</f>
        <v>0</v>
      </c>
      <c r="G37" s="434">
        <v>0</v>
      </c>
      <c r="H37" s="436">
        <f t="shared" si="3"/>
        <v>0</v>
      </c>
      <c r="I37" s="359"/>
      <c r="J37" s="359"/>
      <c r="K37" s="359"/>
      <c r="L37" s="359"/>
      <c r="M37" s="360"/>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61"/>
      <c r="AL37" s="361"/>
      <c r="AM37" s="361"/>
      <c r="AN37" s="361"/>
      <c r="AO37" s="361"/>
      <c r="AP37" s="361"/>
      <c r="AQ37" s="361"/>
      <c r="AR37" s="361"/>
      <c r="AS37" s="361"/>
      <c r="AT37" s="361"/>
      <c r="AU37" s="361"/>
      <c r="AV37" s="361"/>
      <c r="AW37" s="361"/>
      <c r="AX37" s="361"/>
      <c r="AY37" s="361"/>
      <c r="AZ37" s="361"/>
      <c r="BA37" s="361"/>
      <c r="BB37" s="361"/>
      <c r="BC37" s="361"/>
      <c r="BD37" s="361"/>
      <c r="BE37" s="361"/>
      <c r="BF37" s="361"/>
      <c r="BG37" s="361"/>
      <c r="BH37" s="361"/>
      <c r="BI37" s="361"/>
      <c r="BJ37" s="361"/>
      <c r="BK37" s="361"/>
      <c r="BL37" s="361"/>
      <c r="BM37" s="361"/>
      <c r="BN37" s="361"/>
      <c r="BO37" s="361"/>
      <c r="BP37" s="361"/>
      <c r="BQ37" s="361"/>
      <c r="BR37" s="361"/>
      <c r="BS37" s="361"/>
      <c r="BT37" s="361"/>
      <c r="BU37" s="361"/>
      <c r="BV37" s="361"/>
      <c r="BW37" s="361"/>
      <c r="BX37" s="361"/>
      <c r="BY37" s="361"/>
      <c r="BZ37" s="361"/>
      <c r="CA37" s="361"/>
      <c r="CB37" s="361"/>
      <c r="CC37" s="361"/>
      <c r="CD37" s="361"/>
      <c r="CE37" s="361"/>
      <c r="CF37" s="361"/>
      <c r="CG37" s="361"/>
      <c r="CH37" s="361"/>
      <c r="CI37" s="361"/>
      <c r="CJ37" s="361"/>
      <c r="CK37" s="361"/>
      <c r="CL37" s="361"/>
      <c r="CM37" s="361"/>
      <c r="CN37" s="361"/>
      <c r="CO37" s="361"/>
      <c r="CP37" s="361"/>
      <c r="CQ37" s="361"/>
      <c r="CR37" s="361"/>
      <c r="CS37" s="361"/>
      <c r="CT37" s="361"/>
      <c r="CU37" s="361"/>
      <c r="CV37" s="361"/>
      <c r="CW37" s="361"/>
      <c r="CX37" s="361"/>
      <c r="CY37" s="361"/>
      <c r="CZ37" s="361"/>
      <c r="DA37" s="361"/>
      <c r="DB37" s="361"/>
      <c r="DC37" s="361"/>
      <c r="DD37" s="361"/>
      <c r="DE37" s="361"/>
      <c r="DF37" s="361"/>
      <c r="DG37" s="361"/>
      <c r="DH37" s="361"/>
      <c r="DI37" s="361"/>
      <c r="DJ37" s="361"/>
      <c r="DK37" s="361"/>
      <c r="DL37" s="361"/>
      <c r="DM37" s="361"/>
      <c r="DN37" s="361"/>
      <c r="DO37" s="361"/>
      <c r="DP37" s="361"/>
      <c r="DQ37" s="361"/>
      <c r="DR37" s="361"/>
      <c r="DS37" s="361"/>
      <c r="DT37" s="361"/>
      <c r="DU37" s="361"/>
      <c r="DV37" s="361"/>
      <c r="DW37" s="361"/>
      <c r="DX37" s="361"/>
      <c r="DY37" s="361"/>
      <c r="DZ37" s="361"/>
      <c r="EA37" s="361"/>
      <c r="EB37" s="361"/>
      <c r="EC37" s="361"/>
      <c r="ED37" s="361"/>
      <c r="EE37" s="361"/>
      <c r="EF37" s="361"/>
      <c r="EG37" s="361"/>
      <c r="EH37" s="361"/>
      <c r="EI37" s="361"/>
      <c r="EJ37" s="361"/>
      <c r="EK37" s="361"/>
      <c r="EL37" s="361"/>
      <c r="EM37" s="361"/>
      <c r="EN37" s="361"/>
      <c r="EO37" s="361"/>
      <c r="EP37" s="361"/>
      <c r="EQ37" s="361"/>
      <c r="ER37" s="361"/>
      <c r="ES37" s="361"/>
      <c r="ET37" s="361"/>
      <c r="EU37" s="361"/>
      <c r="EV37" s="361"/>
      <c r="EW37" s="361"/>
      <c r="EX37" s="361"/>
      <c r="EY37" s="361"/>
      <c r="EZ37" s="361"/>
      <c r="FA37" s="361"/>
      <c r="FB37" s="361"/>
      <c r="FC37" s="361"/>
      <c r="FD37" s="361"/>
      <c r="FE37" s="361"/>
      <c r="FF37" s="361"/>
      <c r="FG37" s="361"/>
      <c r="FH37" s="361"/>
      <c r="FI37" s="361"/>
      <c r="FJ37" s="361"/>
      <c r="FK37" s="361"/>
      <c r="FL37" s="361"/>
      <c r="FM37" s="361"/>
      <c r="FN37" s="361"/>
      <c r="FO37" s="361"/>
      <c r="FP37" s="361"/>
      <c r="FQ37" s="361"/>
      <c r="FR37" s="361"/>
      <c r="FS37" s="361"/>
      <c r="FT37" s="361"/>
      <c r="FU37" s="361"/>
      <c r="FV37" s="361"/>
      <c r="FW37" s="361"/>
      <c r="FX37" s="361"/>
      <c r="FY37" s="361"/>
      <c r="FZ37" s="361"/>
      <c r="GA37" s="361"/>
      <c r="GB37" s="361"/>
      <c r="GC37" s="361"/>
      <c r="GD37" s="361"/>
      <c r="GE37" s="361"/>
      <c r="GF37" s="361"/>
      <c r="GG37" s="361"/>
      <c r="GH37" s="361"/>
      <c r="GI37" s="361"/>
      <c r="GJ37" s="361"/>
      <c r="GK37" s="361"/>
      <c r="GL37" s="361"/>
      <c r="GM37" s="361"/>
      <c r="GN37" s="361"/>
      <c r="GO37" s="361"/>
      <c r="GP37" s="361"/>
      <c r="GQ37" s="361"/>
      <c r="GR37" s="361"/>
      <c r="GS37" s="361"/>
      <c r="GT37" s="361"/>
      <c r="GU37" s="361"/>
      <c r="GV37" s="361"/>
      <c r="GW37" s="361"/>
      <c r="GX37" s="361"/>
      <c r="GY37" s="361"/>
      <c r="GZ37" s="361"/>
      <c r="HA37" s="361"/>
      <c r="HB37" s="361"/>
      <c r="HC37" s="361"/>
      <c r="HD37" s="361"/>
      <c r="HE37" s="361"/>
      <c r="HF37" s="361"/>
      <c r="HG37" s="361"/>
      <c r="HH37" s="361"/>
      <c r="HI37" s="361"/>
      <c r="HJ37" s="361"/>
      <c r="HK37" s="361"/>
      <c r="HL37" s="361"/>
      <c r="HM37" s="361"/>
      <c r="HN37" s="361"/>
      <c r="HO37" s="361"/>
      <c r="HP37" s="361"/>
      <c r="HQ37" s="361"/>
      <c r="HR37" s="361"/>
      <c r="HS37" s="361"/>
      <c r="HT37" s="361"/>
      <c r="HU37" s="361"/>
      <c r="HV37" s="361"/>
      <c r="HW37" s="361"/>
      <c r="HX37" s="361"/>
      <c r="HY37" s="361"/>
      <c r="HZ37" s="361"/>
      <c r="IA37" s="361"/>
      <c r="IB37" s="361"/>
      <c r="IC37" s="361"/>
      <c r="ID37" s="361"/>
      <c r="IE37" s="361"/>
      <c r="IF37" s="361"/>
      <c r="IG37" s="361"/>
      <c r="IH37" s="361"/>
      <c r="II37" s="361"/>
      <c r="IJ37" s="361"/>
      <c r="IK37" s="361"/>
      <c r="IL37" s="361"/>
      <c r="IM37" s="361"/>
      <c r="IN37" s="361"/>
      <c r="IO37" s="361"/>
      <c r="IP37" s="361"/>
      <c r="IQ37" s="361"/>
      <c r="IR37" s="361"/>
      <c r="IS37" s="361"/>
      <c r="IT37" s="361"/>
      <c r="IU37" s="361"/>
      <c r="IV37" s="361"/>
      <c r="IW37" s="361"/>
      <c r="IX37" s="361"/>
      <c r="IY37" s="346" t="s">
        <v>73</v>
      </c>
      <c r="IZ37" s="346"/>
      <c r="JA37" s="346"/>
      <c r="JB37" s="346"/>
      <c r="JC37" s="346"/>
      <c r="JD37" s="346"/>
      <c r="JE37" s="361"/>
    </row>
    <row r="38" spans="1:265" s="175" customFormat="1" ht="19.95" customHeight="1">
      <c r="A38" s="453"/>
      <c r="B38" s="827"/>
      <c r="C38" s="328" t="s">
        <v>154</v>
      </c>
      <c r="D38" s="336"/>
      <c r="E38" s="454">
        <f>COUNTIFS(Table1351452010[[#All],[Sales]],"คุณนรินทร์ ปิงมูล",Table1351452010[[#All],[Total 
คอมฯค่าเชื่อมสัญญาณ
(3)]],"&gt;1")</f>
        <v>0</v>
      </c>
      <c r="F38" s="455">
        <f>SUMIF(Table1351452010[[#All],[Sales]],"คุณนรินทร์ ปิงมูล",Table1351452010[[#All],[Total 
คอมฯค่าเชื่อมสัญญาณ
(3)]])</f>
        <v>0</v>
      </c>
      <c r="G38" s="434">
        <v>0</v>
      </c>
      <c r="H38" s="436">
        <f t="shared" si="3"/>
        <v>0</v>
      </c>
      <c r="I38" s="359"/>
      <c r="J38" s="359"/>
      <c r="K38" s="359"/>
      <c r="L38" s="359"/>
      <c r="M38" s="360"/>
      <c r="N38" s="361"/>
      <c r="O38" s="361"/>
      <c r="P38" s="361"/>
      <c r="Q38" s="361"/>
      <c r="R38" s="361"/>
      <c r="S38" s="361"/>
      <c r="T38" s="361"/>
      <c r="U38" s="361"/>
      <c r="V38" s="361"/>
      <c r="W38" s="361"/>
      <c r="X38" s="361"/>
      <c r="Y38" s="361"/>
      <c r="Z38" s="361"/>
      <c r="AA38" s="361"/>
      <c r="AB38" s="361"/>
      <c r="AC38" s="361"/>
      <c r="AD38" s="361"/>
      <c r="AE38" s="361"/>
      <c r="AF38" s="361"/>
      <c r="AG38" s="361"/>
      <c r="AH38" s="361"/>
      <c r="AI38" s="361"/>
      <c r="AJ38" s="361"/>
      <c r="AK38" s="361"/>
      <c r="AL38" s="361"/>
      <c r="AM38" s="361"/>
      <c r="AN38" s="361"/>
      <c r="AO38" s="361"/>
      <c r="AP38" s="361"/>
      <c r="AQ38" s="361"/>
      <c r="AR38" s="361"/>
      <c r="AS38" s="361"/>
      <c r="AT38" s="361"/>
      <c r="AU38" s="361"/>
      <c r="AV38" s="361"/>
      <c r="AW38" s="361"/>
      <c r="AX38" s="361"/>
      <c r="AY38" s="361"/>
      <c r="AZ38" s="361"/>
      <c r="BA38" s="361"/>
      <c r="BB38" s="361"/>
      <c r="BC38" s="361"/>
      <c r="BD38" s="361"/>
      <c r="BE38" s="361"/>
      <c r="BF38" s="361"/>
      <c r="BG38" s="361"/>
      <c r="BH38" s="361"/>
      <c r="BI38" s="361"/>
      <c r="BJ38" s="361"/>
      <c r="BK38" s="361"/>
      <c r="BL38" s="361"/>
      <c r="BM38" s="361"/>
      <c r="BN38" s="361"/>
      <c r="BO38" s="361"/>
      <c r="BP38" s="361"/>
      <c r="BQ38" s="361"/>
      <c r="BR38" s="361"/>
      <c r="BS38" s="361"/>
      <c r="BT38" s="361"/>
      <c r="BU38" s="361"/>
      <c r="BV38" s="361"/>
      <c r="BW38" s="361"/>
      <c r="BX38" s="361"/>
      <c r="BY38" s="361"/>
      <c r="BZ38" s="361"/>
      <c r="CA38" s="361"/>
      <c r="CB38" s="361"/>
      <c r="CC38" s="361"/>
      <c r="CD38" s="361"/>
      <c r="CE38" s="361"/>
      <c r="CF38" s="361"/>
      <c r="CG38" s="361"/>
      <c r="CH38" s="361"/>
      <c r="CI38" s="361"/>
      <c r="CJ38" s="361"/>
      <c r="CK38" s="361"/>
      <c r="CL38" s="361"/>
      <c r="CM38" s="361"/>
      <c r="CN38" s="361"/>
      <c r="CO38" s="361"/>
      <c r="CP38" s="361"/>
      <c r="CQ38" s="361"/>
      <c r="CR38" s="361"/>
      <c r="CS38" s="361"/>
      <c r="CT38" s="361"/>
      <c r="CU38" s="361"/>
      <c r="CV38" s="361"/>
      <c r="CW38" s="361"/>
      <c r="CX38" s="361"/>
      <c r="CY38" s="361"/>
      <c r="CZ38" s="361"/>
      <c r="DA38" s="361"/>
      <c r="DB38" s="361"/>
      <c r="DC38" s="361"/>
      <c r="DD38" s="361"/>
      <c r="DE38" s="361"/>
      <c r="DF38" s="361"/>
      <c r="DG38" s="361"/>
      <c r="DH38" s="361"/>
      <c r="DI38" s="361"/>
      <c r="DJ38" s="361"/>
      <c r="DK38" s="361"/>
      <c r="DL38" s="361"/>
      <c r="DM38" s="361"/>
      <c r="DN38" s="361"/>
      <c r="DO38" s="361"/>
      <c r="DP38" s="361"/>
      <c r="DQ38" s="361"/>
      <c r="DR38" s="361"/>
      <c r="DS38" s="361"/>
      <c r="DT38" s="361"/>
      <c r="DU38" s="361"/>
      <c r="DV38" s="361"/>
      <c r="DW38" s="361"/>
      <c r="DX38" s="361"/>
      <c r="DY38" s="361"/>
      <c r="DZ38" s="361"/>
      <c r="EA38" s="361"/>
      <c r="EB38" s="361"/>
      <c r="EC38" s="361"/>
      <c r="ED38" s="361"/>
      <c r="EE38" s="361"/>
      <c r="EF38" s="361"/>
      <c r="EG38" s="361"/>
      <c r="EH38" s="361"/>
      <c r="EI38" s="361"/>
      <c r="EJ38" s="361"/>
      <c r="EK38" s="361"/>
      <c r="EL38" s="361"/>
      <c r="EM38" s="361"/>
      <c r="EN38" s="361"/>
      <c r="EO38" s="361"/>
      <c r="EP38" s="361"/>
      <c r="EQ38" s="361"/>
      <c r="ER38" s="361"/>
      <c r="ES38" s="361"/>
      <c r="ET38" s="361"/>
      <c r="EU38" s="361"/>
      <c r="EV38" s="361"/>
      <c r="EW38" s="361"/>
      <c r="EX38" s="361"/>
      <c r="EY38" s="361"/>
      <c r="EZ38" s="361"/>
      <c r="FA38" s="361"/>
      <c r="FB38" s="361"/>
      <c r="FC38" s="361"/>
      <c r="FD38" s="361"/>
      <c r="FE38" s="361"/>
      <c r="FF38" s="361"/>
      <c r="FG38" s="361"/>
      <c r="FH38" s="361"/>
      <c r="FI38" s="361"/>
      <c r="FJ38" s="361"/>
      <c r="FK38" s="361"/>
      <c r="FL38" s="361"/>
      <c r="FM38" s="361"/>
      <c r="FN38" s="361"/>
      <c r="FO38" s="361"/>
      <c r="FP38" s="361"/>
      <c r="FQ38" s="361"/>
      <c r="FR38" s="361"/>
      <c r="FS38" s="361"/>
      <c r="FT38" s="361"/>
      <c r="FU38" s="361"/>
      <c r="FV38" s="361"/>
      <c r="FW38" s="361"/>
      <c r="FX38" s="361"/>
      <c r="FY38" s="361"/>
      <c r="FZ38" s="361"/>
      <c r="GA38" s="361"/>
      <c r="GB38" s="361"/>
      <c r="GC38" s="361"/>
      <c r="GD38" s="361"/>
      <c r="GE38" s="361"/>
      <c r="GF38" s="361"/>
      <c r="GG38" s="361"/>
      <c r="GH38" s="361"/>
      <c r="GI38" s="361"/>
      <c r="GJ38" s="361"/>
      <c r="GK38" s="361"/>
      <c r="GL38" s="361"/>
      <c r="GM38" s="361"/>
      <c r="GN38" s="361"/>
      <c r="GO38" s="361"/>
      <c r="GP38" s="361"/>
      <c r="GQ38" s="361"/>
      <c r="GR38" s="361"/>
      <c r="GS38" s="361"/>
      <c r="GT38" s="361"/>
      <c r="GU38" s="361"/>
      <c r="GV38" s="361"/>
      <c r="GW38" s="361"/>
      <c r="GX38" s="361"/>
      <c r="GY38" s="361"/>
      <c r="GZ38" s="361"/>
      <c r="HA38" s="361"/>
      <c r="HB38" s="361"/>
      <c r="HC38" s="361"/>
      <c r="HD38" s="361"/>
      <c r="HE38" s="361"/>
      <c r="HF38" s="361"/>
      <c r="HG38" s="361"/>
      <c r="HH38" s="361"/>
      <c r="HI38" s="361"/>
      <c r="HJ38" s="361"/>
      <c r="HK38" s="361"/>
      <c r="HL38" s="361"/>
      <c r="HM38" s="361"/>
      <c r="HN38" s="361"/>
      <c r="HO38" s="361"/>
      <c r="HP38" s="361"/>
      <c r="HQ38" s="361"/>
      <c r="HR38" s="361"/>
      <c r="HS38" s="361"/>
      <c r="HT38" s="361"/>
      <c r="HU38" s="361"/>
      <c r="HV38" s="361"/>
      <c r="HW38" s="361"/>
      <c r="HX38" s="361"/>
      <c r="HY38" s="361"/>
      <c r="HZ38" s="361"/>
      <c r="IA38" s="361"/>
      <c r="IB38" s="361"/>
      <c r="IC38" s="361"/>
      <c r="ID38" s="361"/>
      <c r="IE38" s="361"/>
      <c r="IF38" s="361"/>
      <c r="IG38" s="361"/>
      <c r="IH38" s="361"/>
      <c r="II38" s="361"/>
      <c r="IJ38" s="361"/>
      <c r="IK38" s="361"/>
      <c r="IL38" s="361"/>
      <c r="IM38" s="361"/>
      <c r="IN38" s="361"/>
      <c r="IO38" s="361"/>
      <c r="IP38" s="361"/>
      <c r="IQ38" s="361"/>
      <c r="IR38" s="361"/>
      <c r="IS38" s="361"/>
      <c r="IT38" s="361"/>
      <c r="IU38" s="361"/>
      <c r="IV38" s="361"/>
      <c r="IW38" s="361"/>
      <c r="IX38" s="361"/>
      <c r="IY38" s="346" t="s">
        <v>74</v>
      </c>
      <c r="IZ38" s="346"/>
      <c r="JA38" s="346"/>
      <c r="JB38" s="346"/>
      <c r="JC38" s="346"/>
      <c r="JD38" s="346"/>
      <c r="JE38" s="361"/>
    </row>
    <row r="39" spans="1:265" s="175" customFormat="1" ht="19.95" customHeight="1">
      <c r="A39" s="453"/>
      <c r="B39" s="827"/>
      <c r="C39" s="328" t="s">
        <v>130</v>
      </c>
      <c r="D39" s="336"/>
      <c r="E39" s="454">
        <f>COUNTIFS(Table1351452010[[#All],[Sales]],"คุณชนัฐฎา สนคะมี",Table1351452010[[#All],[Total 
คอมฯค่าเชื่อมสัญญาณ
(3)]],"&gt;1")</f>
        <v>0</v>
      </c>
      <c r="F39" s="455">
        <f>SUMIF(Table1351452010[[#All],[Sales]],"คุณชนัฐฎา สนคะมี",Table1351452010[[#All],[Total 
คอมฯค่าเชื่อมสัญญาณ
(3)]])</f>
        <v>0</v>
      </c>
      <c r="G39" s="434">
        <v>0</v>
      </c>
      <c r="H39" s="436">
        <f t="shared" si="3"/>
        <v>0</v>
      </c>
      <c r="I39" s="359"/>
      <c r="J39" s="359"/>
      <c r="K39" s="359"/>
      <c r="L39" s="359"/>
      <c r="M39" s="360"/>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61"/>
      <c r="AL39" s="361"/>
      <c r="AM39" s="361"/>
      <c r="AN39" s="361"/>
      <c r="AO39" s="361"/>
      <c r="AP39" s="361"/>
      <c r="AQ39" s="361"/>
      <c r="AR39" s="361"/>
      <c r="AS39" s="361"/>
      <c r="AT39" s="361"/>
      <c r="AU39" s="361"/>
      <c r="AV39" s="361"/>
      <c r="AW39" s="361"/>
      <c r="AX39" s="361"/>
      <c r="AY39" s="361"/>
      <c r="AZ39" s="361"/>
      <c r="BA39" s="361"/>
      <c r="BB39" s="361"/>
      <c r="BC39" s="361"/>
      <c r="BD39" s="361"/>
      <c r="BE39" s="361"/>
      <c r="BF39" s="361"/>
      <c r="BG39" s="361"/>
      <c r="BH39" s="361"/>
      <c r="BI39" s="361"/>
      <c r="BJ39" s="361"/>
      <c r="BK39" s="361"/>
      <c r="BL39" s="361"/>
      <c r="BM39" s="361"/>
      <c r="BN39" s="361"/>
      <c r="BO39" s="361"/>
      <c r="BP39" s="361"/>
      <c r="BQ39" s="361"/>
      <c r="BR39" s="361"/>
      <c r="BS39" s="361"/>
      <c r="BT39" s="361"/>
      <c r="BU39" s="361"/>
      <c r="BV39" s="361"/>
      <c r="BW39" s="361"/>
      <c r="BX39" s="361"/>
      <c r="BY39" s="361"/>
      <c r="BZ39" s="361"/>
      <c r="CA39" s="361"/>
      <c r="CB39" s="361"/>
      <c r="CC39" s="361"/>
      <c r="CD39" s="361"/>
      <c r="CE39" s="361"/>
      <c r="CF39" s="361"/>
      <c r="CG39" s="361"/>
      <c r="CH39" s="361"/>
      <c r="CI39" s="361"/>
      <c r="CJ39" s="361"/>
      <c r="CK39" s="361"/>
      <c r="CL39" s="361"/>
      <c r="CM39" s="361"/>
      <c r="CN39" s="361"/>
      <c r="CO39" s="361"/>
      <c r="CP39" s="361"/>
      <c r="CQ39" s="361"/>
      <c r="CR39" s="361"/>
      <c r="CS39" s="361"/>
      <c r="CT39" s="361"/>
      <c r="CU39" s="361"/>
      <c r="CV39" s="361"/>
      <c r="CW39" s="361"/>
      <c r="CX39" s="361"/>
      <c r="CY39" s="361"/>
      <c r="CZ39" s="361"/>
      <c r="DA39" s="361"/>
      <c r="DB39" s="361"/>
      <c r="DC39" s="361"/>
      <c r="DD39" s="361"/>
      <c r="DE39" s="361"/>
      <c r="DF39" s="361"/>
      <c r="DG39" s="361"/>
      <c r="DH39" s="361"/>
      <c r="DI39" s="361"/>
      <c r="DJ39" s="361"/>
      <c r="DK39" s="361"/>
      <c r="DL39" s="361"/>
      <c r="DM39" s="361"/>
      <c r="DN39" s="361"/>
      <c r="DO39" s="361"/>
      <c r="DP39" s="361"/>
      <c r="DQ39" s="361"/>
      <c r="DR39" s="361"/>
      <c r="DS39" s="361"/>
      <c r="DT39" s="361"/>
      <c r="DU39" s="361"/>
      <c r="DV39" s="361"/>
      <c r="DW39" s="361"/>
      <c r="DX39" s="361"/>
      <c r="DY39" s="361"/>
      <c r="DZ39" s="361"/>
      <c r="EA39" s="361"/>
      <c r="EB39" s="361"/>
      <c r="EC39" s="361"/>
      <c r="ED39" s="361"/>
      <c r="EE39" s="361"/>
      <c r="EF39" s="361"/>
      <c r="EG39" s="361"/>
      <c r="EH39" s="361"/>
      <c r="EI39" s="361"/>
      <c r="EJ39" s="361"/>
      <c r="EK39" s="361"/>
      <c r="EL39" s="361"/>
      <c r="EM39" s="361"/>
      <c r="EN39" s="361"/>
      <c r="EO39" s="361"/>
      <c r="EP39" s="361"/>
      <c r="EQ39" s="361"/>
      <c r="ER39" s="361"/>
      <c r="ES39" s="361"/>
      <c r="ET39" s="361"/>
      <c r="EU39" s="361"/>
      <c r="EV39" s="361"/>
      <c r="EW39" s="361"/>
      <c r="EX39" s="361"/>
      <c r="EY39" s="361"/>
      <c r="EZ39" s="361"/>
      <c r="FA39" s="361"/>
      <c r="FB39" s="361"/>
      <c r="FC39" s="361"/>
      <c r="FD39" s="361"/>
      <c r="FE39" s="361"/>
      <c r="FF39" s="361"/>
      <c r="FG39" s="361"/>
      <c r="FH39" s="361"/>
      <c r="FI39" s="361"/>
      <c r="FJ39" s="361"/>
      <c r="FK39" s="361"/>
      <c r="FL39" s="361"/>
      <c r="FM39" s="361"/>
      <c r="FN39" s="361"/>
      <c r="FO39" s="361"/>
      <c r="FP39" s="361"/>
      <c r="FQ39" s="361"/>
      <c r="FR39" s="361"/>
      <c r="FS39" s="361"/>
      <c r="FT39" s="361"/>
      <c r="FU39" s="361"/>
      <c r="FV39" s="361"/>
      <c r="FW39" s="361"/>
      <c r="FX39" s="361"/>
      <c r="FY39" s="361"/>
      <c r="FZ39" s="361"/>
      <c r="GA39" s="361"/>
      <c r="GB39" s="361"/>
      <c r="GC39" s="361"/>
      <c r="GD39" s="361"/>
      <c r="GE39" s="361"/>
      <c r="GF39" s="361"/>
      <c r="GG39" s="361"/>
      <c r="GH39" s="361"/>
      <c r="GI39" s="361"/>
      <c r="GJ39" s="361"/>
      <c r="GK39" s="361"/>
      <c r="GL39" s="361"/>
      <c r="GM39" s="361"/>
      <c r="GN39" s="361"/>
      <c r="GO39" s="361"/>
      <c r="GP39" s="361"/>
      <c r="GQ39" s="361"/>
      <c r="GR39" s="361"/>
      <c r="GS39" s="361"/>
      <c r="GT39" s="361"/>
      <c r="GU39" s="361"/>
      <c r="GV39" s="361"/>
      <c r="GW39" s="361"/>
      <c r="GX39" s="361"/>
      <c r="GY39" s="361"/>
      <c r="GZ39" s="361"/>
      <c r="HA39" s="361"/>
      <c r="HB39" s="361"/>
      <c r="HC39" s="361"/>
      <c r="HD39" s="361"/>
      <c r="HE39" s="361"/>
      <c r="HF39" s="361"/>
      <c r="HG39" s="361"/>
      <c r="HH39" s="361"/>
      <c r="HI39" s="361"/>
      <c r="HJ39" s="361"/>
      <c r="HK39" s="361"/>
      <c r="HL39" s="361"/>
      <c r="HM39" s="361"/>
      <c r="HN39" s="361"/>
      <c r="HO39" s="361"/>
      <c r="HP39" s="361"/>
      <c r="HQ39" s="361"/>
      <c r="HR39" s="361"/>
      <c r="HS39" s="361"/>
      <c r="HT39" s="361"/>
      <c r="HU39" s="361"/>
      <c r="HV39" s="361"/>
      <c r="HW39" s="361"/>
      <c r="HX39" s="361"/>
      <c r="HY39" s="361"/>
      <c r="HZ39" s="361"/>
      <c r="IA39" s="361"/>
      <c r="IB39" s="361"/>
      <c r="IC39" s="361"/>
      <c r="ID39" s="361"/>
      <c r="IE39" s="361"/>
      <c r="IF39" s="361"/>
      <c r="IG39" s="361"/>
      <c r="IH39" s="361"/>
      <c r="II39" s="361"/>
      <c r="IJ39" s="361"/>
      <c r="IK39" s="361"/>
      <c r="IL39" s="361"/>
      <c r="IM39" s="361"/>
      <c r="IN39" s="361"/>
      <c r="IO39" s="361"/>
      <c r="IP39" s="361"/>
      <c r="IQ39" s="361"/>
      <c r="IR39" s="361"/>
      <c r="IS39" s="361"/>
      <c r="IT39" s="361"/>
      <c r="IU39" s="361"/>
      <c r="IV39" s="361"/>
      <c r="IW39" s="361"/>
      <c r="IX39" s="361"/>
      <c r="IY39" s="346" t="s">
        <v>75</v>
      </c>
      <c r="IZ39" s="346"/>
      <c r="JA39" s="346"/>
      <c r="JB39" s="346"/>
      <c r="JC39" s="346"/>
      <c r="JD39" s="346"/>
      <c r="JE39" s="361"/>
    </row>
    <row r="40" spans="1:265" s="175" customFormat="1" ht="19.95" customHeight="1">
      <c r="A40" s="453"/>
      <c r="B40" s="827"/>
      <c r="C40" s="328" t="s">
        <v>153</v>
      </c>
      <c r="D40" s="336"/>
      <c r="E40" s="454">
        <f>COUNTIFS(Table1351452010[[#All],[Sales]],"คุณจิรภิญญา เป็นปึก",Table1351452010[[#All],[Total 
คอมฯค่าเชื่อมสัญญาณ
(3)]],"&gt;1")</f>
        <v>0</v>
      </c>
      <c r="F40" s="455">
        <f>SUMIF(Table1351452010[[#All],[Sales]],"คุณจิรภิญญา เป็นปึก",Table1351452010[[#All],[Total 
คอมฯค่าเชื่อมสัญญาณ
(3)]])</f>
        <v>0</v>
      </c>
      <c r="G40" s="434">
        <v>0</v>
      </c>
      <c r="H40" s="436">
        <f t="shared" si="3"/>
        <v>0</v>
      </c>
      <c r="I40" s="359"/>
      <c r="J40" s="359"/>
      <c r="K40" s="359"/>
      <c r="L40" s="359"/>
      <c r="M40" s="360"/>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1"/>
      <c r="AK40" s="361"/>
      <c r="AL40" s="361"/>
      <c r="AM40" s="361"/>
      <c r="AN40" s="361"/>
      <c r="AO40" s="361"/>
      <c r="AP40" s="361"/>
      <c r="AQ40" s="361"/>
      <c r="AR40" s="361"/>
      <c r="AS40" s="361"/>
      <c r="AT40" s="361"/>
      <c r="AU40" s="361"/>
      <c r="AV40" s="361"/>
      <c r="AW40" s="361"/>
      <c r="AX40" s="361"/>
      <c r="AY40" s="361"/>
      <c r="AZ40" s="361"/>
      <c r="BA40" s="361"/>
      <c r="BB40" s="361"/>
      <c r="BC40" s="361"/>
      <c r="BD40" s="361"/>
      <c r="BE40" s="361"/>
      <c r="BF40" s="361"/>
      <c r="BG40" s="361"/>
      <c r="BH40" s="361"/>
      <c r="BI40" s="361"/>
      <c r="BJ40" s="361"/>
      <c r="BK40" s="361"/>
      <c r="BL40" s="361"/>
      <c r="BM40" s="361"/>
      <c r="BN40" s="361"/>
      <c r="BO40" s="361"/>
      <c r="BP40" s="361"/>
      <c r="BQ40" s="361"/>
      <c r="BR40" s="361"/>
      <c r="BS40" s="361"/>
      <c r="BT40" s="361"/>
      <c r="BU40" s="361"/>
      <c r="BV40" s="361"/>
      <c r="BW40" s="361"/>
      <c r="BX40" s="361"/>
      <c r="BY40" s="361"/>
      <c r="BZ40" s="361"/>
      <c r="CA40" s="361"/>
      <c r="CB40" s="361"/>
      <c r="CC40" s="361"/>
      <c r="CD40" s="361"/>
      <c r="CE40" s="361"/>
      <c r="CF40" s="361"/>
      <c r="CG40" s="361"/>
      <c r="CH40" s="361"/>
      <c r="CI40" s="361"/>
      <c r="CJ40" s="361"/>
      <c r="CK40" s="361"/>
      <c r="CL40" s="361"/>
      <c r="CM40" s="361"/>
      <c r="CN40" s="361"/>
      <c r="CO40" s="361"/>
      <c r="CP40" s="361"/>
      <c r="CQ40" s="361"/>
      <c r="CR40" s="361"/>
      <c r="CS40" s="361"/>
      <c r="CT40" s="361"/>
      <c r="CU40" s="361"/>
      <c r="CV40" s="361"/>
      <c r="CW40" s="361"/>
      <c r="CX40" s="361"/>
      <c r="CY40" s="361"/>
      <c r="CZ40" s="361"/>
      <c r="DA40" s="361"/>
      <c r="DB40" s="361"/>
      <c r="DC40" s="361"/>
      <c r="DD40" s="361"/>
      <c r="DE40" s="361"/>
      <c r="DF40" s="361"/>
      <c r="DG40" s="361"/>
      <c r="DH40" s="361"/>
      <c r="DI40" s="361"/>
      <c r="DJ40" s="361"/>
      <c r="DK40" s="361"/>
      <c r="DL40" s="361"/>
      <c r="DM40" s="361"/>
      <c r="DN40" s="361"/>
      <c r="DO40" s="361"/>
      <c r="DP40" s="361"/>
      <c r="DQ40" s="361"/>
      <c r="DR40" s="361"/>
      <c r="DS40" s="361"/>
      <c r="DT40" s="361"/>
      <c r="DU40" s="361"/>
      <c r="DV40" s="361"/>
      <c r="DW40" s="361"/>
      <c r="DX40" s="361"/>
      <c r="DY40" s="361"/>
      <c r="DZ40" s="361"/>
      <c r="EA40" s="361"/>
      <c r="EB40" s="361"/>
      <c r="EC40" s="361"/>
      <c r="ED40" s="361"/>
      <c r="EE40" s="361"/>
      <c r="EF40" s="361"/>
      <c r="EG40" s="361"/>
      <c r="EH40" s="361"/>
      <c r="EI40" s="361"/>
      <c r="EJ40" s="361"/>
      <c r="EK40" s="361"/>
      <c r="EL40" s="361"/>
      <c r="EM40" s="361"/>
      <c r="EN40" s="361"/>
      <c r="EO40" s="361"/>
      <c r="EP40" s="361"/>
      <c r="EQ40" s="361"/>
      <c r="ER40" s="361"/>
      <c r="ES40" s="361"/>
      <c r="ET40" s="361"/>
      <c r="EU40" s="361"/>
      <c r="EV40" s="361"/>
      <c r="EW40" s="361"/>
      <c r="EX40" s="361"/>
      <c r="EY40" s="361"/>
      <c r="EZ40" s="361"/>
      <c r="FA40" s="361"/>
      <c r="FB40" s="361"/>
      <c r="FC40" s="361"/>
      <c r="FD40" s="361"/>
      <c r="FE40" s="361"/>
      <c r="FF40" s="361"/>
      <c r="FG40" s="361"/>
      <c r="FH40" s="361"/>
      <c r="FI40" s="361"/>
      <c r="FJ40" s="361"/>
      <c r="FK40" s="361"/>
      <c r="FL40" s="361"/>
      <c r="FM40" s="361"/>
      <c r="FN40" s="361"/>
      <c r="FO40" s="361"/>
      <c r="FP40" s="361"/>
      <c r="FQ40" s="361"/>
      <c r="FR40" s="361"/>
      <c r="FS40" s="361"/>
      <c r="FT40" s="361"/>
      <c r="FU40" s="361"/>
      <c r="FV40" s="361"/>
      <c r="FW40" s="361"/>
      <c r="FX40" s="361"/>
      <c r="FY40" s="361"/>
      <c r="FZ40" s="361"/>
      <c r="GA40" s="361"/>
      <c r="GB40" s="361"/>
      <c r="GC40" s="361"/>
      <c r="GD40" s="361"/>
      <c r="GE40" s="361"/>
      <c r="GF40" s="361"/>
      <c r="GG40" s="361"/>
      <c r="GH40" s="361"/>
      <c r="GI40" s="361"/>
      <c r="GJ40" s="361"/>
      <c r="GK40" s="361"/>
      <c r="GL40" s="361"/>
      <c r="GM40" s="361"/>
      <c r="GN40" s="361"/>
      <c r="GO40" s="361"/>
      <c r="GP40" s="361"/>
      <c r="GQ40" s="361"/>
      <c r="GR40" s="361"/>
      <c r="GS40" s="361"/>
      <c r="GT40" s="361"/>
      <c r="GU40" s="361"/>
      <c r="GV40" s="361"/>
      <c r="GW40" s="361"/>
      <c r="GX40" s="361"/>
      <c r="GY40" s="361"/>
      <c r="GZ40" s="361"/>
      <c r="HA40" s="361"/>
      <c r="HB40" s="361"/>
      <c r="HC40" s="361"/>
      <c r="HD40" s="361"/>
      <c r="HE40" s="361"/>
      <c r="HF40" s="361"/>
      <c r="HG40" s="361"/>
      <c r="HH40" s="361"/>
      <c r="HI40" s="361"/>
      <c r="HJ40" s="361"/>
      <c r="HK40" s="361"/>
      <c r="HL40" s="361"/>
      <c r="HM40" s="361"/>
      <c r="HN40" s="361"/>
      <c r="HO40" s="361"/>
      <c r="HP40" s="361"/>
      <c r="HQ40" s="361"/>
      <c r="HR40" s="361"/>
      <c r="HS40" s="361"/>
      <c r="HT40" s="361"/>
      <c r="HU40" s="361"/>
      <c r="HV40" s="361"/>
      <c r="HW40" s="361"/>
      <c r="HX40" s="361"/>
      <c r="HY40" s="361"/>
      <c r="HZ40" s="361"/>
      <c r="IA40" s="361"/>
      <c r="IB40" s="361"/>
      <c r="IC40" s="361"/>
      <c r="ID40" s="361"/>
      <c r="IE40" s="361"/>
      <c r="IF40" s="361"/>
      <c r="IG40" s="361"/>
      <c r="IH40" s="361"/>
      <c r="II40" s="361"/>
      <c r="IJ40" s="361"/>
      <c r="IK40" s="361"/>
      <c r="IL40" s="361"/>
      <c r="IM40" s="361"/>
      <c r="IN40" s="361"/>
      <c r="IO40" s="361"/>
      <c r="IP40" s="361"/>
      <c r="IQ40" s="361"/>
      <c r="IR40" s="361"/>
      <c r="IS40" s="361"/>
      <c r="IT40" s="361"/>
      <c r="IU40" s="361"/>
      <c r="IV40" s="361"/>
      <c r="IW40" s="361"/>
      <c r="IX40" s="361"/>
      <c r="IY40" s="346" t="s">
        <v>154</v>
      </c>
      <c r="IZ40" s="346"/>
      <c r="JA40" s="346"/>
      <c r="JB40" s="346"/>
      <c r="JC40" s="346"/>
      <c r="JD40" s="346"/>
      <c r="JE40" s="361"/>
    </row>
    <row r="41" spans="1:265" s="175" customFormat="1" ht="19.95" customHeight="1">
      <c r="A41" s="453"/>
      <c r="B41" s="827"/>
      <c r="C41" s="328" t="s">
        <v>72</v>
      </c>
      <c r="D41" s="336"/>
      <c r="E41" s="454">
        <f>COUNTIFS(Table1351452010[[#All],[Sales]],"คุณแดง มูลสองแคว",Table1351452010[[#All],[Total 
คอมฯค่าเชื่อมสัญญาณ
(3)]],"&gt;1")</f>
        <v>0</v>
      </c>
      <c r="F41" s="455">
        <f>SUMIF(Table1351452010[[#All],[Sales]],"คุณแดง มูลสองแคว",Table1351452010[[#All],[Total 
คอมฯค่าเชื่อมสัญญาณ
(3)]])</f>
        <v>0</v>
      </c>
      <c r="G41" s="434">
        <v>0</v>
      </c>
      <c r="H41" s="436">
        <f t="shared" si="3"/>
        <v>0</v>
      </c>
      <c r="I41" s="359"/>
      <c r="J41" s="359"/>
      <c r="K41" s="359"/>
      <c r="L41" s="359"/>
      <c r="M41" s="360"/>
      <c r="N41" s="361"/>
      <c r="O41" s="361"/>
      <c r="P41" s="361"/>
      <c r="Q41" s="361"/>
      <c r="R41" s="361"/>
      <c r="S41" s="361"/>
      <c r="T41" s="361"/>
      <c r="U41" s="361"/>
      <c r="V41" s="361"/>
      <c r="W41" s="361"/>
      <c r="X41" s="361"/>
      <c r="Y41" s="361"/>
      <c r="Z41" s="361"/>
      <c r="AA41" s="361"/>
      <c r="AB41" s="361"/>
      <c r="AC41" s="361"/>
      <c r="AD41" s="361"/>
      <c r="AE41" s="361"/>
      <c r="AF41" s="361"/>
      <c r="AG41" s="361"/>
      <c r="AH41" s="361"/>
      <c r="AI41" s="361"/>
      <c r="AJ41" s="361"/>
      <c r="AK41" s="361"/>
      <c r="AL41" s="361"/>
      <c r="AM41" s="361"/>
      <c r="AN41" s="361"/>
      <c r="AO41" s="361"/>
      <c r="AP41" s="361"/>
      <c r="AQ41" s="361"/>
      <c r="AR41" s="361"/>
      <c r="AS41" s="361"/>
      <c r="AT41" s="361"/>
      <c r="AU41" s="361"/>
      <c r="AV41" s="361"/>
      <c r="AW41" s="361"/>
      <c r="AX41" s="361"/>
      <c r="AY41" s="361"/>
      <c r="AZ41" s="361"/>
      <c r="BA41" s="361"/>
      <c r="BB41" s="361"/>
      <c r="BC41" s="361"/>
      <c r="BD41" s="361"/>
      <c r="BE41" s="361"/>
      <c r="BF41" s="361"/>
      <c r="BG41" s="361"/>
      <c r="BH41" s="361"/>
      <c r="BI41" s="361"/>
      <c r="BJ41" s="361"/>
      <c r="BK41" s="361"/>
      <c r="BL41" s="361"/>
      <c r="BM41" s="361"/>
      <c r="BN41" s="361"/>
      <c r="BO41" s="361"/>
      <c r="BP41" s="361"/>
      <c r="BQ41" s="361"/>
      <c r="BR41" s="361"/>
      <c r="BS41" s="361"/>
      <c r="BT41" s="361"/>
      <c r="BU41" s="361"/>
      <c r="BV41" s="361"/>
      <c r="BW41" s="361"/>
      <c r="BX41" s="361"/>
      <c r="BY41" s="361"/>
      <c r="BZ41" s="361"/>
      <c r="CA41" s="361"/>
      <c r="CB41" s="361"/>
      <c r="CC41" s="361"/>
      <c r="CD41" s="361"/>
      <c r="CE41" s="361"/>
      <c r="CF41" s="361"/>
      <c r="CG41" s="361"/>
      <c r="CH41" s="361"/>
      <c r="CI41" s="361"/>
      <c r="CJ41" s="361"/>
      <c r="CK41" s="361"/>
      <c r="CL41" s="361"/>
      <c r="CM41" s="361"/>
      <c r="CN41" s="361"/>
      <c r="CO41" s="361"/>
      <c r="CP41" s="361"/>
      <c r="CQ41" s="361"/>
      <c r="CR41" s="361"/>
      <c r="CS41" s="361"/>
      <c r="CT41" s="361"/>
      <c r="CU41" s="361"/>
      <c r="CV41" s="361"/>
      <c r="CW41" s="361"/>
      <c r="CX41" s="361"/>
      <c r="CY41" s="361"/>
      <c r="CZ41" s="361"/>
      <c r="DA41" s="361"/>
      <c r="DB41" s="361"/>
      <c r="DC41" s="361"/>
      <c r="DD41" s="361"/>
      <c r="DE41" s="361"/>
      <c r="DF41" s="361"/>
      <c r="DG41" s="361"/>
      <c r="DH41" s="361"/>
      <c r="DI41" s="361"/>
      <c r="DJ41" s="361"/>
      <c r="DK41" s="361"/>
      <c r="DL41" s="361"/>
      <c r="DM41" s="361"/>
      <c r="DN41" s="361"/>
      <c r="DO41" s="361"/>
      <c r="DP41" s="361"/>
      <c r="DQ41" s="361"/>
      <c r="DR41" s="361"/>
      <c r="DS41" s="361"/>
      <c r="DT41" s="361"/>
      <c r="DU41" s="361"/>
      <c r="DV41" s="361"/>
      <c r="DW41" s="361"/>
      <c r="DX41" s="361"/>
      <c r="DY41" s="361"/>
      <c r="DZ41" s="361"/>
      <c r="EA41" s="361"/>
      <c r="EB41" s="361"/>
      <c r="EC41" s="361"/>
      <c r="ED41" s="361"/>
      <c r="EE41" s="361"/>
      <c r="EF41" s="361"/>
      <c r="EG41" s="361"/>
      <c r="EH41" s="361"/>
      <c r="EI41" s="361"/>
      <c r="EJ41" s="361"/>
      <c r="EK41" s="361"/>
      <c r="EL41" s="361"/>
      <c r="EM41" s="361"/>
      <c r="EN41" s="361"/>
      <c r="EO41" s="361"/>
      <c r="EP41" s="361"/>
      <c r="EQ41" s="361"/>
      <c r="ER41" s="361"/>
      <c r="ES41" s="361"/>
      <c r="ET41" s="361"/>
      <c r="EU41" s="361"/>
      <c r="EV41" s="361"/>
      <c r="EW41" s="361"/>
      <c r="EX41" s="361"/>
      <c r="EY41" s="361"/>
      <c r="EZ41" s="361"/>
      <c r="FA41" s="361"/>
      <c r="FB41" s="361"/>
      <c r="FC41" s="361"/>
      <c r="FD41" s="361"/>
      <c r="FE41" s="361"/>
      <c r="FF41" s="361"/>
      <c r="FG41" s="361"/>
      <c r="FH41" s="361"/>
      <c r="FI41" s="361"/>
      <c r="FJ41" s="361"/>
      <c r="FK41" s="361"/>
      <c r="FL41" s="361"/>
      <c r="FM41" s="361"/>
      <c r="FN41" s="361"/>
      <c r="FO41" s="361"/>
      <c r="FP41" s="361"/>
      <c r="FQ41" s="361"/>
      <c r="FR41" s="361"/>
      <c r="FS41" s="361"/>
      <c r="FT41" s="361"/>
      <c r="FU41" s="361"/>
      <c r="FV41" s="361"/>
      <c r="FW41" s="361"/>
      <c r="FX41" s="361"/>
      <c r="FY41" s="361"/>
      <c r="FZ41" s="361"/>
      <c r="GA41" s="361"/>
      <c r="GB41" s="361"/>
      <c r="GC41" s="361"/>
      <c r="GD41" s="361"/>
      <c r="GE41" s="361"/>
      <c r="GF41" s="361"/>
      <c r="GG41" s="361"/>
      <c r="GH41" s="361"/>
      <c r="GI41" s="361"/>
      <c r="GJ41" s="361"/>
      <c r="GK41" s="361"/>
      <c r="GL41" s="361"/>
      <c r="GM41" s="361"/>
      <c r="GN41" s="361"/>
      <c r="GO41" s="361"/>
      <c r="GP41" s="361"/>
      <c r="GQ41" s="361"/>
      <c r="GR41" s="361"/>
      <c r="GS41" s="361"/>
      <c r="GT41" s="361"/>
      <c r="GU41" s="361"/>
      <c r="GV41" s="361"/>
      <c r="GW41" s="361"/>
      <c r="GX41" s="361"/>
      <c r="GY41" s="361"/>
      <c r="GZ41" s="361"/>
      <c r="HA41" s="361"/>
      <c r="HB41" s="361"/>
      <c r="HC41" s="361"/>
      <c r="HD41" s="361"/>
      <c r="HE41" s="361"/>
      <c r="HF41" s="361"/>
      <c r="HG41" s="361"/>
      <c r="HH41" s="361"/>
      <c r="HI41" s="361"/>
      <c r="HJ41" s="361"/>
      <c r="HK41" s="361"/>
      <c r="HL41" s="361"/>
      <c r="HM41" s="361"/>
      <c r="HN41" s="361"/>
      <c r="HO41" s="361"/>
      <c r="HP41" s="361"/>
      <c r="HQ41" s="361"/>
      <c r="HR41" s="361"/>
      <c r="HS41" s="361"/>
      <c r="HT41" s="361"/>
      <c r="HU41" s="361"/>
      <c r="HV41" s="361"/>
      <c r="HW41" s="361"/>
      <c r="HX41" s="361"/>
      <c r="HY41" s="361"/>
      <c r="HZ41" s="361"/>
      <c r="IA41" s="361"/>
      <c r="IB41" s="361"/>
      <c r="IC41" s="361"/>
      <c r="ID41" s="361"/>
      <c r="IE41" s="361"/>
      <c r="IF41" s="361"/>
      <c r="IG41" s="361"/>
      <c r="IH41" s="361"/>
      <c r="II41" s="361"/>
      <c r="IJ41" s="361"/>
      <c r="IK41" s="361"/>
      <c r="IL41" s="361"/>
      <c r="IM41" s="361"/>
      <c r="IN41" s="361"/>
      <c r="IO41" s="361"/>
      <c r="IP41" s="361"/>
      <c r="IQ41" s="361"/>
      <c r="IR41" s="361"/>
      <c r="IS41" s="361"/>
      <c r="IT41" s="361"/>
      <c r="IU41" s="361"/>
      <c r="IV41" s="361"/>
      <c r="IW41" s="361"/>
      <c r="IX41" s="361"/>
      <c r="IY41" s="346" t="s">
        <v>130</v>
      </c>
      <c r="IZ41" s="346"/>
      <c r="JA41" s="346"/>
      <c r="JB41" s="346"/>
      <c r="JC41" s="346"/>
      <c r="JD41" s="346"/>
      <c r="JE41" s="361"/>
    </row>
    <row r="42" spans="1:265" s="175" customFormat="1" ht="19.95" customHeight="1">
      <c r="A42" s="453"/>
      <c r="B42" s="827"/>
      <c r="C42" s="328" t="s">
        <v>68</v>
      </c>
      <c r="D42" s="336"/>
      <c r="E42" s="454">
        <f>COUNTIFS(Table1351452010[[#All],[Sales]],"คุณศศินาถ จุ้ยอยู่ทอง",Table1351452010[[#All],[Total 
คอมฯค่าเชื่อมสัญญาณ
(3)]],"&gt;1")</f>
        <v>0</v>
      </c>
      <c r="F42" s="455">
        <f>SUMIF(Table1351452010[[#All],[Sales]],"คุณศศินาถ จุ้ยอยู่ทอง",Table1351452010[[#All],[Total 
คอมฯค่าเชื่อมสัญญาณ
(3)]])</f>
        <v>0</v>
      </c>
      <c r="G42" s="434">
        <v>0</v>
      </c>
      <c r="H42" s="436">
        <f t="shared" si="3"/>
        <v>0</v>
      </c>
      <c r="I42" s="359"/>
      <c r="J42" s="359"/>
      <c r="K42" s="359"/>
      <c r="L42" s="359"/>
      <c r="M42" s="360"/>
      <c r="N42" s="361"/>
      <c r="O42" s="361"/>
      <c r="P42" s="361"/>
      <c r="Q42" s="361"/>
      <c r="R42" s="361"/>
      <c r="S42" s="361"/>
      <c r="T42" s="361"/>
      <c r="U42" s="361"/>
      <c r="V42" s="361"/>
      <c r="W42" s="361"/>
      <c r="X42" s="361"/>
      <c r="Y42" s="361"/>
      <c r="Z42" s="361"/>
      <c r="AA42" s="361"/>
      <c r="AB42" s="361"/>
      <c r="AC42" s="361"/>
      <c r="AD42" s="361"/>
      <c r="AE42" s="361"/>
      <c r="AF42" s="361"/>
      <c r="AG42" s="361"/>
      <c r="AH42" s="361"/>
      <c r="AI42" s="361"/>
      <c r="AJ42" s="361"/>
      <c r="AK42" s="361"/>
      <c r="AL42" s="361"/>
      <c r="AM42" s="361"/>
      <c r="AN42" s="361"/>
      <c r="AO42" s="361"/>
      <c r="AP42" s="361"/>
      <c r="AQ42" s="361"/>
      <c r="AR42" s="361"/>
      <c r="AS42" s="361"/>
      <c r="AT42" s="361"/>
      <c r="AU42" s="361"/>
      <c r="AV42" s="361"/>
      <c r="AW42" s="361"/>
      <c r="AX42" s="361"/>
      <c r="AY42" s="361"/>
      <c r="AZ42" s="361"/>
      <c r="BA42" s="361"/>
      <c r="BB42" s="361"/>
      <c r="BC42" s="361"/>
      <c r="BD42" s="361"/>
      <c r="BE42" s="361"/>
      <c r="BF42" s="361"/>
      <c r="BG42" s="361"/>
      <c r="BH42" s="361"/>
      <c r="BI42" s="361"/>
      <c r="BJ42" s="361"/>
      <c r="BK42" s="361"/>
      <c r="BL42" s="361"/>
      <c r="BM42" s="361"/>
      <c r="BN42" s="361"/>
      <c r="BO42" s="361"/>
      <c r="BP42" s="361"/>
      <c r="BQ42" s="361"/>
      <c r="BR42" s="361"/>
      <c r="BS42" s="361"/>
      <c r="BT42" s="361"/>
      <c r="BU42" s="361"/>
      <c r="BV42" s="361"/>
      <c r="BW42" s="361"/>
      <c r="BX42" s="361"/>
      <c r="BY42" s="361"/>
      <c r="BZ42" s="361"/>
      <c r="CA42" s="361"/>
      <c r="CB42" s="361"/>
      <c r="CC42" s="361"/>
      <c r="CD42" s="361"/>
      <c r="CE42" s="361"/>
      <c r="CF42" s="361"/>
      <c r="CG42" s="361"/>
      <c r="CH42" s="361"/>
      <c r="CI42" s="361"/>
      <c r="CJ42" s="361"/>
      <c r="CK42" s="361"/>
      <c r="CL42" s="361"/>
      <c r="CM42" s="361"/>
      <c r="CN42" s="361"/>
      <c r="CO42" s="361"/>
      <c r="CP42" s="361"/>
      <c r="CQ42" s="361"/>
      <c r="CR42" s="361"/>
      <c r="CS42" s="361"/>
      <c r="CT42" s="361"/>
      <c r="CU42" s="361"/>
      <c r="CV42" s="361"/>
      <c r="CW42" s="361"/>
      <c r="CX42" s="361"/>
      <c r="CY42" s="361"/>
      <c r="CZ42" s="361"/>
      <c r="DA42" s="361"/>
      <c r="DB42" s="361"/>
      <c r="DC42" s="361"/>
      <c r="DD42" s="361"/>
      <c r="DE42" s="361"/>
      <c r="DF42" s="361"/>
      <c r="DG42" s="361"/>
      <c r="DH42" s="361"/>
      <c r="DI42" s="361"/>
      <c r="DJ42" s="361"/>
      <c r="DK42" s="361"/>
      <c r="DL42" s="361"/>
      <c r="DM42" s="361"/>
      <c r="DN42" s="361"/>
      <c r="DO42" s="361"/>
      <c r="DP42" s="361"/>
      <c r="DQ42" s="361"/>
      <c r="DR42" s="361"/>
      <c r="DS42" s="361"/>
      <c r="DT42" s="361"/>
      <c r="DU42" s="361"/>
      <c r="DV42" s="361"/>
      <c r="DW42" s="361"/>
      <c r="DX42" s="361"/>
      <c r="DY42" s="361"/>
      <c r="DZ42" s="361"/>
      <c r="EA42" s="361"/>
      <c r="EB42" s="361"/>
      <c r="EC42" s="361"/>
      <c r="ED42" s="361"/>
      <c r="EE42" s="361"/>
      <c r="EF42" s="361"/>
      <c r="EG42" s="361"/>
      <c r="EH42" s="361"/>
      <c r="EI42" s="361"/>
      <c r="EJ42" s="361"/>
      <c r="EK42" s="361"/>
      <c r="EL42" s="361"/>
      <c r="EM42" s="361"/>
      <c r="EN42" s="361"/>
      <c r="EO42" s="361"/>
      <c r="EP42" s="361"/>
      <c r="EQ42" s="361"/>
      <c r="ER42" s="361"/>
      <c r="ES42" s="361"/>
      <c r="ET42" s="361"/>
      <c r="EU42" s="361"/>
      <c r="EV42" s="361"/>
      <c r="EW42" s="361"/>
      <c r="EX42" s="361"/>
      <c r="EY42" s="361"/>
      <c r="EZ42" s="361"/>
      <c r="FA42" s="361"/>
      <c r="FB42" s="361"/>
      <c r="FC42" s="361"/>
      <c r="FD42" s="361"/>
      <c r="FE42" s="361"/>
      <c r="FF42" s="361"/>
      <c r="FG42" s="361"/>
      <c r="FH42" s="361"/>
      <c r="FI42" s="361"/>
      <c r="FJ42" s="361"/>
      <c r="FK42" s="361"/>
      <c r="FL42" s="361"/>
      <c r="FM42" s="361"/>
      <c r="FN42" s="361"/>
      <c r="FO42" s="361"/>
      <c r="FP42" s="361"/>
      <c r="FQ42" s="361"/>
      <c r="FR42" s="361"/>
      <c r="FS42" s="361"/>
      <c r="FT42" s="361"/>
      <c r="FU42" s="361"/>
      <c r="FV42" s="361"/>
      <c r="FW42" s="361"/>
      <c r="FX42" s="361"/>
      <c r="FY42" s="361"/>
      <c r="FZ42" s="361"/>
      <c r="GA42" s="361"/>
      <c r="GB42" s="361"/>
      <c r="GC42" s="361"/>
      <c r="GD42" s="361"/>
      <c r="GE42" s="361"/>
      <c r="GF42" s="361"/>
      <c r="GG42" s="361"/>
      <c r="GH42" s="361"/>
      <c r="GI42" s="361"/>
      <c r="GJ42" s="361"/>
      <c r="GK42" s="361"/>
      <c r="GL42" s="361"/>
      <c r="GM42" s="361"/>
      <c r="GN42" s="361"/>
      <c r="GO42" s="361"/>
      <c r="GP42" s="361"/>
      <c r="GQ42" s="361"/>
      <c r="GR42" s="361"/>
      <c r="GS42" s="361"/>
      <c r="GT42" s="361"/>
      <c r="GU42" s="361"/>
      <c r="GV42" s="361"/>
      <c r="GW42" s="361"/>
      <c r="GX42" s="361"/>
      <c r="GY42" s="361"/>
      <c r="GZ42" s="361"/>
      <c r="HA42" s="361"/>
      <c r="HB42" s="361"/>
      <c r="HC42" s="361"/>
      <c r="HD42" s="361"/>
      <c r="HE42" s="361"/>
      <c r="HF42" s="361"/>
      <c r="HG42" s="361"/>
      <c r="HH42" s="361"/>
      <c r="HI42" s="361"/>
      <c r="HJ42" s="361"/>
      <c r="HK42" s="361"/>
      <c r="HL42" s="361"/>
      <c r="HM42" s="361"/>
      <c r="HN42" s="361"/>
      <c r="HO42" s="361"/>
      <c r="HP42" s="361"/>
      <c r="HQ42" s="361"/>
      <c r="HR42" s="361"/>
      <c r="HS42" s="361"/>
      <c r="HT42" s="361"/>
      <c r="HU42" s="361"/>
      <c r="HV42" s="361"/>
      <c r="HW42" s="361"/>
      <c r="HX42" s="361"/>
      <c r="HY42" s="361"/>
      <c r="HZ42" s="361"/>
      <c r="IA42" s="361"/>
      <c r="IB42" s="361"/>
      <c r="IC42" s="361"/>
      <c r="ID42" s="361"/>
      <c r="IE42" s="361"/>
      <c r="IF42" s="361"/>
      <c r="IG42" s="361"/>
      <c r="IH42" s="361"/>
      <c r="II42" s="361"/>
      <c r="IJ42" s="361"/>
      <c r="IK42" s="361"/>
      <c r="IL42" s="361"/>
      <c r="IM42" s="361"/>
      <c r="IN42" s="361"/>
      <c r="IO42" s="361"/>
      <c r="IP42" s="361"/>
      <c r="IQ42" s="361"/>
      <c r="IR42" s="361"/>
      <c r="IS42" s="361"/>
      <c r="IT42" s="361"/>
      <c r="IU42" s="361"/>
      <c r="IV42" s="361"/>
      <c r="IW42" s="361"/>
      <c r="IX42" s="361"/>
      <c r="IY42" s="346" t="s">
        <v>153</v>
      </c>
      <c r="IZ42" s="346"/>
      <c r="JA42" s="346"/>
      <c r="JB42" s="346"/>
      <c r="JC42" s="346"/>
      <c r="JD42" s="346"/>
      <c r="JE42" s="361"/>
    </row>
    <row r="43" spans="1:265" s="175" customFormat="1" ht="19.95" customHeight="1">
      <c r="A43" s="453"/>
      <c r="B43" s="335"/>
      <c r="C43" s="328" t="s">
        <v>67</v>
      </c>
      <c r="D43" s="336"/>
      <c r="E43" s="454">
        <f>COUNTIFS(Table1351452010[[#All],[Sales]],"คุณรุ่งอรุณ อินบุญรอด",Table1351452010[[#All],[Total 
คอมฯค่าเชื่อมสัญญาณ
(3)]],"&gt;1")</f>
        <v>0</v>
      </c>
      <c r="F43" s="455">
        <f>SUMIF(Table1351452010[[#All],[Sales]],"คุณรุ่งอรุณ อินบุญรอด",Table1351452010[[#All],[Total 
คอมฯค่าเชื่อมสัญญาณ
(3)]])</f>
        <v>0</v>
      </c>
      <c r="G43" s="434">
        <v>0</v>
      </c>
      <c r="H43" s="436">
        <f t="shared" si="3"/>
        <v>0</v>
      </c>
      <c r="I43" s="359"/>
      <c r="J43" s="359"/>
      <c r="K43" s="359"/>
      <c r="L43" s="359"/>
      <c r="M43" s="360"/>
      <c r="N43" s="361"/>
      <c r="O43" s="361"/>
      <c r="P43" s="361"/>
      <c r="Q43" s="361"/>
      <c r="R43" s="361"/>
      <c r="S43" s="361"/>
      <c r="T43" s="361"/>
      <c r="U43" s="361"/>
      <c r="V43" s="361"/>
      <c r="W43" s="361"/>
      <c r="X43" s="361"/>
      <c r="Y43" s="361"/>
      <c r="Z43" s="361"/>
      <c r="AA43" s="361"/>
      <c r="AB43" s="361"/>
      <c r="AC43" s="361"/>
      <c r="AD43" s="361"/>
      <c r="AE43" s="361"/>
      <c r="AF43" s="361"/>
      <c r="AG43" s="361"/>
      <c r="AH43" s="361"/>
      <c r="AI43" s="361"/>
      <c r="AJ43" s="361"/>
      <c r="AK43" s="361"/>
      <c r="AL43" s="361"/>
      <c r="AM43" s="361"/>
      <c r="AN43" s="361"/>
      <c r="AO43" s="361"/>
      <c r="AP43" s="361"/>
      <c r="AQ43" s="361"/>
      <c r="AR43" s="361"/>
      <c r="AS43" s="361"/>
      <c r="AT43" s="361"/>
      <c r="AU43" s="361"/>
      <c r="AV43" s="361"/>
      <c r="AW43" s="361"/>
      <c r="AX43" s="361"/>
      <c r="AY43" s="361"/>
      <c r="AZ43" s="361"/>
      <c r="BA43" s="361"/>
      <c r="BB43" s="361"/>
      <c r="BC43" s="361"/>
      <c r="BD43" s="361"/>
      <c r="BE43" s="361"/>
      <c r="BF43" s="361"/>
      <c r="BG43" s="361"/>
      <c r="BH43" s="361"/>
      <c r="BI43" s="361"/>
      <c r="BJ43" s="361"/>
      <c r="BK43" s="361"/>
      <c r="BL43" s="361"/>
      <c r="BM43" s="361"/>
      <c r="BN43" s="361"/>
      <c r="BO43" s="361"/>
      <c r="BP43" s="361"/>
      <c r="BQ43" s="361"/>
      <c r="BR43" s="361"/>
      <c r="BS43" s="361"/>
      <c r="BT43" s="361"/>
      <c r="BU43" s="361"/>
      <c r="BV43" s="361"/>
      <c r="BW43" s="361"/>
      <c r="BX43" s="361"/>
      <c r="BY43" s="361"/>
      <c r="BZ43" s="361"/>
      <c r="CA43" s="361"/>
      <c r="CB43" s="361"/>
      <c r="CC43" s="361"/>
      <c r="CD43" s="361"/>
      <c r="CE43" s="361"/>
      <c r="CF43" s="361"/>
      <c r="CG43" s="361"/>
      <c r="CH43" s="361"/>
      <c r="CI43" s="361"/>
      <c r="CJ43" s="361"/>
      <c r="CK43" s="361"/>
      <c r="CL43" s="361"/>
      <c r="CM43" s="361"/>
      <c r="CN43" s="361"/>
      <c r="CO43" s="361"/>
      <c r="CP43" s="361"/>
      <c r="CQ43" s="361"/>
      <c r="CR43" s="361"/>
      <c r="CS43" s="361"/>
      <c r="CT43" s="361"/>
      <c r="CU43" s="361"/>
      <c r="CV43" s="361"/>
      <c r="CW43" s="361"/>
      <c r="CX43" s="361"/>
      <c r="CY43" s="361"/>
      <c r="CZ43" s="361"/>
      <c r="DA43" s="361"/>
      <c r="DB43" s="361"/>
      <c r="DC43" s="361"/>
      <c r="DD43" s="361"/>
      <c r="DE43" s="361"/>
      <c r="DF43" s="361"/>
      <c r="DG43" s="361"/>
      <c r="DH43" s="361"/>
      <c r="DI43" s="361"/>
      <c r="DJ43" s="361"/>
      <c r="DK43" s="361"/>
      <c r="DL43" s="361"/>
      <c r="DM43" s="361"/>
      <c r="DN43" s="361"/>
      <c r="DO43" s="361"/>
      <c r="DP43" s="361"/>
      <c r="DQ43" s="361"/>
      <c r="DR43" s="361"/>
      <c r="DS43" s="361"/>
      <c r="DT43" s="361"/>
      <c r="DU43" s="361"/>
      <c r="DV43" s="361"/>
      <c r="DW43" s="361"/>
      <c r="DX43" s="361"/>
      <c r="DY43" s="361"/>
      <c r="DZ43" s="361"/>
      <c r="EA43" s="361"/>
      <c r="EB43" s="361"/>
      <c r="EC43" s="361"/>
      <c r="ED43" s="361"/>
      <c r="EE43" s="361"/>
      <c r="EF43" s="361"/>
      <c r="EG43" s="361"/>
      <c r="EH43" s="361"/>
      <c r="EI43" s="361"/>
      <c r="EJ43" s="361"/>
      <c r="EK43" s="361"/>
      <c r="EL43" s="361"/>
      <c r="EM43" s="361"/>
      <c r="EN43" s="361"/>
      <c r="EO43" s="361"/>
      <c r="EP43" s="361"/>
      <c r="EQ43" s="361"/>
      <c r="ER43" s="361"/>
      <c r="ES43" s="361"/>
      <c r="ET43" s="361"/>
      <c r="EU43" s="361"/>
      <c r="EV43" s="361"/>
      <c r="EW43" s="361"/>
      <c r="EX43" s="361"/>
      <c r="EY43" s="361"/>
      <c r="EZ43" s="361"/>
      <c r="FA43" s="361"/>
      <c r="FB43" s="361"/>
      <c r="FC43" s="361"/>
      <c r="FD43" s="361"/>
      <c r="FE43" s="361"/>
      <c r="FF43" s="361"/>
      <c r="FG43" s="361"/>
      <c r="FH43" s="361"/>
      <c r="FI43" s="361"/>
      <c r="FJ43" s="361"/>
      <c r="FK43" s="361"/>
      <c r="FL43" s="361"/>
      <c r="FM43" s="361"/>
      <c r="FN43" s="361"/>
      <c r="FO43" s="361"/>
      <c r="FP43" s="361"/>
      <c r="FQ43" s="361"/>
      <c r="FR43" s="361"/>
      <c r="FS43" s="361"/>
      <c r="FT43" s="361"/>
      <c r="FU43" s="361"/>
      <c r="FV43" s="361"/>
      <c r="FW43" s="361"/>
      <c r="FX43" s="361"/>
      <c r="FY43" s="361"/>
      <c r="FZ43" s="361"/>
      <c r="GA43" s="361"/>
      <c r="GB43" s="361"/>
      <c r="GC43" s="361"/>
      <c r="GD43" s="361"/>
      <c r="GE43" s="361"/>
      <c r="GF43" s="361"/>
      <c r="GG43" s="361"/>
      <c r="GH43" s="361"/>
      <c r="GI43" s="361"/>
      <c r="GJ43" s="361"/>
      <c r="GK43" s="361"/>
      <c r="GL43" s="361"/>
      <c r="GM43" s="361"/>
      <c r="GN43" s="361"/>
      <c r="GO43" s="361"/>
      <c r="GP43" s="361"/>
      <c r="GQ43" s="361"/>
      <c r="GR43" s="361"/>
      <c r="GS43" s="361"/>
      <c r="GT43" s="361"/>
      <c r="GU43" s="361"/>
      <c r="GV43" s="361"/>
      <c r="GW43" s="361"/>
      <c r="GX43" s="361"/>
      <c r="GY43" s="361"/>
      <c r="GZ43" s="361"/>
      <c r="HA43" s="361"/>
      <c r="HB43" s="361"/>
      <c r="HC43" s="361"/>
      <c r="HD43" s="361"/>
      <c r="HE43" s="361"/>
      <c r="HF43" s="361"/>
      <c r="HG43" s="361"/>
      <c r="HH43" s="361"/>
      <c r="HI43" s="361"/>
      <c r="HJ43" s="361"/>
      <c r="HK43" s="361"/>
      <c r="HL43" s="361"/>
      <c r="HM43" s="361"/>
      <c r="HN43" s="361"/>
      <c r="HO43" s="361"/>
      <c r="HP43" s="361"/>
      <c r="HQ43" s="361"/>
      <c r="HR43" s="361"/>
      <c r="HS43" s="361"/>
      <c r="HT43" s="361"/>
      <c r="HU43" s="361"/>
      <c r="HV43" s="361"/>
      <c r="HW43" s="361"/>
      <c r="HX43" s="361"/>
      <c r="HY43" s="361"/>
      <c r="HZ43" s="361"/>
      <c r="IA43" s="361"/>
      <c r="IB43" s="361"/>
      <c r="IC43" s="361"/>
      <c r="ID43" s="361"/>
      <c r="IE43" s="361"/>
      <c r="IF43" s="361"/>
      <c r="IG43" s="361"/>
      <c r="IH43" s="361"/>
      <c r="II43" s="361"/>
      <c r="IJ43" s="361"/>
      <c r="IK43" s="361"/>
      <c r="IL43" s="361"/>
      <c r="IM43" s="361"/>
      <c r="IN43" s="361"/>
      <c r="IO43" s="361"/>
      <c r="IP43" s="361"/>
      <c r="IQ43" s="361"/>
      <c r="IR43" s="361"/>
      <c r="IS43" s="361"/>
      <c r="IT43" s="361"/>
      <c r="IU43" s="361"/>
      <c r="IV43" s="361"/>
      <c r="IW43" s="361"/>
      <c r="IX43" s="361"/>
      <c r="IY43" s="346" t="s">
        <v>72</v>
      </c>
      <c r="IZ43" s="346"/>
      <c r="JA43" s="346"/>
      <c r="JB43" s="346"/>
      <c r="JC43" s="346"/>
      <c r="JD43" s="346"/>
      <c r="JE43" s="361"/>
    </row>
    <row r="44" spans="1:265" s="175" customFormat="1" ht="19.95" customHeight="1">
      <c r="A44" s="453"/>
      <c r="B44" s="335"/>
      <c r="C44" s="328" t="s">
        <v>69</v>
      </c>
      <c r="D44" s="336"/>
      <c r="E44" s="454">
        <f>COUNTIFS(Table1351452010[[#All],[Sales]],"คุณธัญลักษณ์ หมื่นหลุบกุง",Table1351452010[[#All],[Total 
คอมฯค่าเชื่อมสัญญาณ
(3)]],"&gt;1")</f>
        <v>0</v>
      </c>
      <c r="F44" s="455">
        <f>SUMIF(Table1351452010[[#All],[Sales]],"คุณธัญลักษณ์ หมื่นหลุบกุง",Table1351452010[[#All],[Total 
คอมฯค่าเชื่อมสัญญาณ
(3)]])</f>
        <v>0</v>
      </c>
      <c r="G44" s="434">
        <v>0</v>
      </c>
      <c r="H44" s="436">
        <f t="shared" si="3"/>
        <v>0</v>
      </c>
      <c r="I44" s="359"/>
      <c r="J44" s="359"/>
      <c r="K44" s="359"/>
      <c r="L44" s="359"/>
      <c r="M44" s="360"/>
      <c r="N44" s="361"/>
      <c r="O44" s="361"/>
      <c r="P44" s="361"/>
      <c r="Q44" s="361"/>
      <c r="R44" s="361"/>
      <c r="S44" s="361"/>
      <c r="T44" s="361"/>
      <c r="U44" s="361"/>
      <c r="V44" s="361"/>
      <c r="W44" s="361"/>
      <c r="X44" s="361"/>
      <c r="Y44" s="361"/>
      <c r="Z44" s="361"/>
      <c r="AA44" s="361"/>
      <c r="AB44" s="361"/>
      <c r="AC44" s="361"/>
      <c r="AD44" s="361"/>
      <c r="AE44" s="361"/>
      <c r="AF44" s="361"/>
      <c r="AG44" s="361"/>
      <c r="AH44" s="361"/>
      <c r="AI44" s="361"/>
      <c r="AJ44" s="361"/>
      <c r="AK44" s="361"/>
      <c r="AL44" s="361"/>
      <c r="AM44" s="361"/>
      <c r="AN44" s="361"/>
      <c r="AO44" s="361"/>
      <c r="AP44" s="361"/>
      <c r="AQ44" s="361"/>
      <c r="AR44" s="361"/>
      <c r="AS44" s="361"/>
      <c r="AT44" s="361"/>
      <c r="AU44" s="361"/>
      <c r="AV44" s="361"/>
      <c r="AW44" s="361"/>
      <c r="AX44" s="361"/>
      <c r="AY44" s="361"/>
      <c r="AZ44" s="361"/>
      <c r="BA44" s="361"/>
      <c r="BB44" s="361"/>
      <c r="BC44" s="361"/>
      <c r="BD44" s="361"/>
      <c r="BE44" s="361"/>
      <c r="BF44" s="361"/>
      <c r="BG44" s="361"/>
      <c r="BH44" s="361"/>
      <c r="BI44" s="361"/>
      <c r="BJ44" s="361"/>
      <c r="BK44" s="361"/>
      <c r="BL44" s="361"/>
      <c r="BM44" s="361"/>
      <c r="BN44" s="361"/>
      <c r="BO44" s="361"/>
      <c r="BP44" s="361"/>
      <c r="BQ44" s="361"/>
      <c r="BR44" s="361"/>
      <c r="BS44" s="361"/>
      <c r="BT44" s="361"/>
      <c r="BU44" s="361"/>
      <c r="BV44" s="361"/>
      <c r="BW44" s="361"/>
      <c r="BX44" s="361"/>
      <c r="BY44" s="361"/>
      <c r="BZ44" s="361"/>
      <c r="CA44" s="361"/>
      <c r="CB44" s="361"/>
      <c r="CC44" s="361"/>
      <c r="CD44" s="361"/>
      <c r="CE44" s="361"/>
      <c r="CF44" s="361"/>
      <c r="CG44" s="361"/>
      <c r="CH44" s="361"/>
      <c r="CI44" s="361"/>
      <c r="CJ44" s="361"/>
      <c r="CK44" s="361"/>
      <c r="CL44" s="361"/>
      <c r="CM44" s="361"/>
      <c r="CN44" s="361"/>
      <c r="CO44" s="361"/>
      <c r="CP44" s="361"/>
      <c r="CQ44" s="361"/>
      <c r="CR44" s="361"/>
      <c r="CS44" s="361"/>
      <c r="CT44" s="361"/>
      <c r="CU44" s="361"/>
      <c r="CV44" s="361"/>
      <c r="CW44" s="361"/>
      <c r="CX44" s="361"/>
      <c r="CY44" s="361"/>
      <c r="CZ44" s="361"/>
      <c r="DA44" s="361"/>
      <c r="DB44" s="361"/>
      <c r="DC44" s="361"/>
      <c r="DD44" s="361"/>
      <c r="DE44" s="361"/>
      <c r="DF44" s="361"/>
      <c r="DG44" s="361"/>
      <c r="DH44" s="361"/>
      <c r="DI44" s="361"/>
      <c r="DJ44" s="361"/>
      <c r="DK44" s="361"/>
      <c r="DL44" s="361"/>
      <c r="DM44" s="361"/>
      <c r="DN44" s="361"/>
      <c r="DO44" s="361"/>
      <c r="DP44" s="361"/>
      <c r="DQ44" s="361"/>
      <c r="DR44" s="361"/>
      <c r="DS44" s="361"/>
      <c r="DT44" s="361"/>
      <c r="DU44" s="361"/>
      <c r="DV44" s="361"/>
      <c r="DW44" s="361"/>
      <c r="DX44" s="361"/>
      <c r="DY44" s="361"/>
      <c r="DZ44" s="361"/>
      <c r="EA44" s="361"/>
      <c r="EB44" s="361"/>
      <c r="EC44" s="361"/>
      <c r="ED44" s="361"/>
      <c r="EE44" s="361"/>
      <c r="EF44" s="361"/>
      <c r="EG44" s="361"/>
      <c r="EH44" s="361"/>
      <c r="EI44" s="361"/>
      <c r="EJ44" s="361"/>
      <c r="EK44" s="361"/>
      <c r="EL44" s="361"/>
      <c r="EM44" s="361"/>
      <c r="EN44" s="361"/>
      <c r="EO44" s="361"/>
      <c r="EP44" s="361"/>
      <c r="EQ44" s="361"/>
      <c r="ER44" s="361"/>
      <c r="ES44" s="361"/>
      <c r="ET44" s="361"/>
      <c r="EU44" s="361"/>
      <c r="EV44" s="361"/>
      <c r="EW44" s="361"/>
      <c r="EX44" s="361"/>
      <c r="EY44" s="361"/>
      <c r="EZ44" s="361"/>
      <c r="FA44" s="361"/>
      <c r="FB44" s="361"/>
      <c r="FC44" s="361"/>
      <c r="FD44" s="361"/>
      <c r="FE44" s="361"/>
      <c r="FF44" s="361"/>
      <c r="FG44" s="361"/>
      <c r="FH44" s="361"/>
      <c r="FI44" s="361"/>
      <c r="FJ44" s="361"/>
      <c r="FK44" s="361"/>
      <c r="FL44" s="361"/>
      <c r="FM44" s="361"/>
      <c r="FN44" s="361"/>
      <c r="FO44" s="361"/>
      <c r="FP44" s="361"/>
      <c r="FQ44" s="361"/>
      <c r="FR44" s="361"/>
      <c r="FS44" s="361"/>
      <c r="FT44" s="361"/>
      <c r="FU44" s="361"/>
      <c r="FV44" s="361"/>
      <c r="FW44" s="361"/>
      <c r="FX44" s="361"/>
      <c r="FY44" s="361"/>
      <c r="FZ44" s="361"/>
      <c r="GA44" s="361"/>
      <c r="GB44" s="361"/>
      <c r="GC44" s="361"/>
      <c r="GD44" s="361"/>
      <c r="GE44" s="361"/>
      <c r="GF44" s="361"/>
      <c r="GG44" s="361"/>
      <c r="GH44" s="361"/>
      <c r="GI44" s="361"/>
      <c r="GJ44" s="361"/>
      <c r="GK44" s="361"/>
      <c r="GL44" s="361"/>
      <c r="GM44" s="361"/>
      <c r="GN44" s="361"/>
      <c r="GO44" s="361"/>
      <c r="GP44" s="361"/>
      <c r="GQ44" s="361"/>
      <c r="GR44" s="361"/>
      <c r="GS44" s="361"/>
      <c r="GT44" s="361"/>
      <c r="GU44" s="361"/>
      <c r="GV44" s="361"/>
      <c r="GW44" s="361"/>
      <c r="GX44" s="361"/>
      <c r="GY44" s="361"/>
      <c r="GZ44" s="361"/>
      <c r="HA44" s="361"/>
      <c r="HB44" s="361"/>
      <c r="HC44" s="361"/>
      <c r="HD44" s="361"/>
      <c r="HE44" s="361"/>
      <c r="HF44" s="361"/>
      <c r="HG44" s="361"/>
      <c r="HH44" s="361"/>
      <c r="HI44" s="361"/>
      <c r="HJ44" s="361"/>
      <c r="HK44" s="361"/>
      <c r="HL44" s="361"/>
      <c r="HM44" s="361"/>
      <c r="HN44" s="361"/>
      <c r="HO44" s="361"/>
      <c r="HP44" s="361"/>
      <c r="HQ44" s="361"/>
      <c r="HR44" s="361"/>
      <c r="HS44" s="361"/>
      <c r="HT44" s="361"/>
      <c r="HU44" s="361"/>
      <c r="HV44" s="361"/>
      <c r="HW44" s="361"/>
      <c r="HX44" s="361"/>
      <c r="HY44" s="361"/>
      <c r="HZ44" s="361"/>
      <c r="IA44" s="361"/>
      <c r="IB44" s="361"/>
      <c r="IC44" s="361"/>
      <c r="ID44" s="361"/>
      <c r="IE44" s="361"/>
      <c r="IF44" s="361"/>
      <c r="IG44" s="361"/>
      <c r="IH44" s="361"/>
      <c r="II44" s="361"/>
      <c r="IJ44" s="361"/>
      <c r="IK44" s="361"/>
      <c r="IL44" s="361"/>
      <c r="IM44" s="361"/>
      <c r="IN44" s="361"/>
      <c r="IO44" s="361"/>
      <c r="IP44" s="361"/>
      <c r="IQ44" s="361"/>
      <c r="IR44" s="361"/>
      <c r="IS44" s="361"/>
      <c r="IT44" s="361"/>
      <c r="IU44" s="361"/>
      <c r="IV44" s="361"/>
      <c r="IW44" s="361"/>
      <c r="IX44" s="361"/>
      <c r="IY44" s="346" t="s">
        <v>68</v>
      </c>
      <c r="IZ44" s="346"/>
      <c r="JA44" s="346"/>
      <c r="JB44" s="346"/>
      <c r="JC44" s="346"/>
      <c r="JD44" s="346"/>
      <c r="JE44" s="361"/>
    </row>
    <row r="45" spans="1:265" s="175" customFormat="1" ht="19.95" customHeight="1">
      <c r="A45" s="453"/>
      <c r="B45" s="335"/>
      <c r="C45" s="328" t="s">
        <v>90</v>
      </c>
      <c r="D45" s="336"/>
      <c r="E45" s="454">
        <f>COUNTIFS(Table1351452010[[#All],[Sales]],"คุณณรงศ์ศักย์ เหล่ารัตนเวช",Table1351452010[[#All],[Total 
คอมฯค่าเชื่อมสัญญาณ
(3)]],"&gt;1")</f>
        <v>0</v>
      </c>
      <c r="F45" s="455">
        <f>SUMIF(Table1351452010[[#All],[Sales]],"คุณณรงศ์ศักย์ เหล่ารัตนเวช",Table1351452010[[#All],[Total 
คอมฯค่าเชื่อมสัญญาณ
(3)]])</f>
        <v>0</v>
      </c>
      <c r="G45" s="434">
        <v>0</v>
      </c>
      <c r="H45" s="436">
        <f t="shared" si="3"/>
        <v>0</v>
      </c>
      <c r="I45" s="359"/>
      <c r="J45" s="359"/>
      <c r="K45" s="359"/>
      <c r="L45" s="359"/>
      <c r="M45" s="360"/>
      <c r="N45" s="361"/>
      <c r="O45" s="361"/>
      <c r="P45" s="361"/>
      <c r="Q45" s="361"/>
      <c r="R45" s="361"/>
      <c r="S45" s="361"/>
      <c r="T45" s="361"/>
      <c r="U45" s="361"/>
      <c r="V45" s="361"/>
      <c r="W45" s="361"/>
      <c r="X45" s="361"/>
      <c r="Y45" s="361"/>
      <c r="Z45" s="361"/>
      <c r="AA45" s="361"/>
      <c r="AB45" s="361"/>
      <c r="AC45" s="361"/>
      <c r="AD45" s="361"/>
      <c r="AE45" s="361"/>
      <c r="AF45" s="361"/>
      <c r="AG45" s="361"/>
      <c r="AH45" s="361"/>
      <c r="AI45" s="361"/>
      <c r="AJ45" s="361"/>
      <c r="AK45" s="361"/>
      <c r="AL45" s="361"/>
      <c r="AM45" s="361"/>
      <c r="AN45" s="361"/>
      <c r="AO45" s="361"/>
      <c r="AP45" s="361"/>
      <c r="AQ45" s="361"/>
      <c r="AR45" s="361"/>
      <c r="AS45" s="361"/>
      <c r="AT45" s="361"/>
      <c r="AU45" s="361"/>
      <c r="AV45" s="361"/>
      <c r="AW45" s="361"/>
      <c r="AX45" s="361"/>
      <c r="AY45" s="361"/>
      <c r="AZ45" s="361"/>
      <c r="BA45" s="361"/>
      <c r="BB45" s="361"/>
      <c r="BC45" s="361"/>
      <c r="BD45" s="361"/>
      <c r="BE45" s="361"/>
      <c r="BF45" s="361"/>
      <c r="BG45" s="361"/>
      <c r="BH45" s="361"/>
      <c r="BI45" s="361"/>
      <c r="BJ45" s="361"/>
      <c r="BK45" s="361"/>
      <c r="BL45" s="361"/>
      <c r="BM45" s="361"/>
      <c r="BN45" s="361"/>
      <c r="BO45" s="361"/>
      <c r="BP45" s="361"/>
      <c r="BQ45" s="361"/>
      <c r="BR45" s="361"/>
      <c r="BS45" s="361"/>
      <c r="BT45" s="361"/>
      <c r="BU45" s="361"/>
      <c r="BV45" s="361"/>
      <c r="BW45" s="361"/>
      <c r="BX45" s="361"/>
      <c r="BY45" s="361"/>
      <c r="BZ45" s="361"/>
      <c r="CA45" s="361"/>
      <c r="CB45" s="361"/>
      <c r="CC45" s="361"/>
      <c r="CD45" s="361"/>
      <c r="CE45" s="361"/>
      <c r="CF45" s="361"/>
      <c r="CG45" s="361"/>
      <c r="CH45" s="361"/>
      <c r="CI45" s="361"/>
      <c r="CJ45" s="361"/>
      <c r="CK45" s="361"/>
      <c r="CL45" s="361"/>
      <c r="CM45" s="361"/>
      <c r="CN45" s="361"/>
      <c r="CO45" s="361"/>
      <c r="CP45" s="361"/>
      <c r="CQ45" s="361"/>
      <c r="CR45" s="361"/>
      <c r="CS45" s="361"/>
      <c r="CT45" s="361"/>
      <c r="CU45" s="361"/>
      <c r="CV45" s="361"/>
      <c r="CW45" s="361"/>
      <c r="CX45" s="361"/>
      <c r="CY45" s="361"/>
      <c r="CZ45" s="361"/>
      <c r="DA45" s="361"/>
      <c r="DB45" s="361"/>
      <c r="DC45" s="361"/>
      <c r="DD45" s="361"/>
      <c r="DE45" s="361"/>
      <c r="DF45" s="361"/>
      <c r="DG45" s="361"/>
      <c r="DH45" s="361"/>
      <c r="DI45" s="361"/>
      <c r="DJ45" s="361"/>
      <c r="DK45" s="361"/>
      <c r="DL45" s="361"/>
      <c r="DM45" s="361"/>
      <c r="DN45" s="361"/>
      <c r="DO45" s="361"/>
      <c r="DP45" s="361"/>
      <c r="DQ45" s="361"/>
      <c r="DR45" s="361"/>
      <c r="DS45" s="361"/>
      <c r="DT45" s="361"/>
      <c r="DU45" s="361"/>
      <c r="DV45" s="361"/>
      <c r="DW45" s="361"/>
      <c r="DX45" s="361"/>
      <c r="DY45" s="361"/>
      <c r="DZ45" s="361"/>
      <c r="EA45" s="361"/>
      <c r="EB45" s="361"/>
      <c r="EC45" s="361"/>
      <c r="ED45" s="361"/>
      <c r="EE45" s="361"/>
      <c r="EF45" s="361"/>
      <c r="EG45" s="361"/>
      <c r="EH45" s="361"/>
      <c r="EI45" s="361"/>
      <c r="EJ45" s="361"/>
      <c r="EK45" s="361"/>
      <c r="EL45" s="361"/>
      <c r="EM45" s="361"/>
      <c r="EN45" s="361"/>
      <c r="EO45" s="361"/>
      <c r="EP45" s="361"/>
      <c r="EQ45" s="361"/>
      <c r="ER45" s="361"/>
      <c r="ES45" s="361"/>
      <c r="ET45" s="361"/>
      <c r="EU45" s="361"/>
      <c r="EV45" s="361"/>
      <c r="EW45" s="361"/>
      <c r="EX45" s="361"/>
      <c r="EY45" s="361"/>
      <c r="EZ45" s="361"/>
      <c r="FA45" s="361"/>
      <c r="FB45" s="361"/>
      <c r="FC45" s="361"/>
      <c r="FD45" s="361"/>
      <c r="FE45" s="361"/>
      <c r="FF45" s="361"/>
      <c r="FG45" s="361"/>
      <c r="FH45" s="361"/>
      <c r="FI45" s="361"/>
      <c r="FJ45" s="361"/>
      <c r="FK45" s="361"/>
      <c r="FL45" s="361"/>
      <c r="FM45" s="361"/>
      <c r="FN45" s="361"/>
      <c r="FO45" s="361"/>
      <c r="FP45" s="361"/>
      <c r="FQ45" s="361"/>
      <c r="FR45" s="361"/>
      <c r="FS45" s="361"/>
      <c r="FT45" s="361"/>
      <c r="FU45" s="361"/>
      <c r="FV45" s="361"/>
      <c r="FW45" s="361"/>
      <c r="FX45" s="361"/>
      <c r="FY45" s="361"/>
      <c r="FZ45" s="361"/>
      <c r="GA45" s="361"/>
      <c r="GB45" s="361"/>
      <c r="GC45" s="361"/>
      <c r="GD45" s="361"/>
      <c r="GE45" s="361"/>
      <c r="GF45" s="361"/>
      <c r="GG45" s="361"/>
      <c r="GH45" s="361"/>
      <c r="GI45" s="361"/>
      <c r="GJ45" s="361"/>
      <c r="GK45" s="361"/>
      <c r="GL45" s="361"/>
      <c r="GM45" s="361"/>
      <c r="GN45" s="361"/>
      <c r="GO45" s="361"/>
      <c r="GP45" s="361"/>
      <c r="GQ45" s="361"/>
      <c r="GR45" s="361"/>
      <c r="GS45" s="361"/>
      <c r="GT45" s="361"/>
      <c r="GU45" s="361"/>
      <c r="GV45" s="361"/>
      <c r="GW45" s="361"/>
      <c r="GX45" s="361"/>
      <c r="GY45" s="361"/>
      <c r="GZ45" s="361"/>
      <c r="HA45" s="361"/>
      <c r="HB45" s="361"/>
      <c r="HC45" s="361"/>
      <c r="HD45" s="361"/>
      <c r="HE45" s="361"/>
      <c r="HF45" s="361"/>
      <c r="HG45" s="361"/>
      <c r="HH45" s="361"/>
      <c r="HI45" s="361"/>
      <c r="HJ45" s="361"/>
      <c r="HK45" s="361"/>
      <c r="HL45" s="361"/>
      <c r="HM45" s="361"/>
      <c r="HN45" s="361"/>
      <c r="HO45" s="361"/>
      <c r="HP45" s="361"/>
      <c r="HQ45" s="361"/>
      <c r="HR45" s="361"/>
      <c r="HS45" s="361"/>
      <c r="HT45" s="361"/>
      <c r="HU45" s="361"/>
      <c r="HV45" s="361"/>
      <c r="HW45" s="361"/>
      <c r="HX45" s="361"/>
      <c r="HY45" s="361"/>
      <c r="HZ45" s="361"/>
      <c r="IA45" s="361"/>
      <c r="IB45" s="361"/>
      <c r="IC45" s="361"/>
      <c r="ID45" s="361"/>
      <c r="IE45" s="361"/>
      <c r="IF45" s="361"/>
      <c r="IG45" s="361"/>
      <c r="IH45" s="361"/>
      <c r="II45" s="361"/>
      <c r="IJ45" s="361"/>
      <c r="IK45" s="361"/>
      <c r="IL45" s="361"/>
      <c r="IM45" s="361"/>
      <c r="IN45" s="361"/>
      <c r="IO45" s="361"/>
      <c r="IP45" s="361"/>
      <c r="IQ45" s="361"/>
      <c r="IR45" s="361"/>
      <c r="IS45" s="361"/>
      <c r="IT45" s="361"/>
      <c r="IU45" s="361"/>
      <c r="IV45" s="361"/>
      <c r="IW45" s="361"/>
      <c r="IX45" s="361"/>
      <c r="IY45" s="346" t="s">
        <v>67</v>
      </c>
      <c r="IZ45" s="346"/>
      <c r="JA45" s="346"/>
      <c r="JB45" s="346"/>
      <c r="JC45" s="346"/>
      <c r="JD45" s="346"/>
      <c r="JE45" s="361"/>
    </row>
    <row r="46" spans="1:265" s="175" customFormat="1" ht="19.95" customHeight="1" thickBot="1">
      <c r="A46" s="456"/>
      <c r="B46" s="828"/>
      <c r="C46" s="439" t="s">
        <v>21</v>
      </c>
      <c r="D46" s="461"/>
      <c r="E46" s="459">
        <f>COUNTIFS(Table1351452010[[#All],[Sales]],"คุณจันทราภรณ์ สุภาพวนิช",Table1351452010[[#All],[Total 
คอมฯค่าเชื่อมสัญญาณ
(3)]],"&gt;1")</f>
        <v>0</v>
      </c>
      <c r="F46" s="460">
        <f>SUMIF(Table1351452010[[#All],[Sales]],"คุณจันทราภรณ์ สุภาพวนิช",Table1351452010[[#All],[Total 
คอมฯค่าเชื่อมสัญญาณ
(3)]])</f>
        <v>0</v>
      </c>
      <c r="G46" s="443">
        <v>0</v>
      </c>
      <c r="H46" s="444">
        <f t="shared" si="3"/>
        <v>0</v>
      </c>
      <c r="I46" s="360"/>
      <c r="J46" s="360"/>
      <c r="K46" s="359"/>
      <c r="L46" s="359"/>
      <c r="M46" s="360"/>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1"/>
      <c r="AL46" s="361"/>
      <c r="AM46" s="361"/>
      <c r="AN46" s="361"/>
      <c r="AO46" s="361"/>
      <c r="AP46" s="361"/>
      <c r="AQ46" s="361"/>
      <c r="AR46" s="361"/>
      <c r="AS46" s="361"/>
      <c r="AT46" s="361"/>
      <c r="AU46" s="361"/>
      <c r="AV46" s="361"/>
      <c r="AW46" s="361"/>
      <c r="AX46" s="361"/>
      <c r="AY46" s="361"/>
      <c r="AZ46" s="361"/>
      <c r="BA46" s="361"/>
      <c r="BB46" s="361"/>
      <c r="BC46" s="361"/>
      <c r="BD46" s="361"/>
      <c r="BE46" s="361"/>
      <c r="BF46" s="361"/>
      <c r="BG46" s="361"/>
      <c r="BH46" s="361"/>
      <c r="BI46" s="361"/>
      <c r="BJ46" s="361"/>
      <c r="BK46" s="361"/>
      <c r="BL46" s="361"/>
      <c r="BM46" s="361"/>
      <c r="BN46" s="361"/>
      <c r="BO46" s="361"/>
      <c r="BP46" s="361"/>
      <c r="BQ46" s="361"/>
      <c r="BR46" s="361"/>
      <c r="BS46" s="361"/>
      <c r="BT46" s="361"/>
      <c r="BU46" s="361"/>
      <c r="BV46" s="361"/>
      <c r="BW46" s="361"/>
      <c r="BX46" s="361"/>
      <c r="BY46" s="361"/>
      <c r="BZ46" s="361"/>
      <c r="CA46" s="361"/>
      <c r="CB46" s="361"/>
      <c r="CC46" s="361"/>
      <c r="CD46" s="361"/>
      <c r="CE46" s="361"/>
      <c r="CF46" s="361"/>
      <c r="CG46" s="361"/>
      <c r="CH46" s="361"/>
      <c r="CI46" s="361"/>
      <c r="CJ46" s="361"/>
      <c r="CK46" s="361"/>
      <c r="CL46" s="361"/>
      <c r="CM46" s="361"/>
      <c r="CN46" s="361"/>
      <c r="CO46" s="361"/>
      <c r="CP46" s="361"/>
      <c r="CQ46" s="361"/>
      <c r="CR46" s="361"/>
      <c r="CS46" s="361"/>
      <c r="CT46" s="361"/>
      <c r="CU46" s="361"/>
      <c r="CV46" s="361"/>
      <c r="CW46" s="361"/>
      <c r="CX46" s="361"/>
      <c r="CY46" s="361"/>
      <c r="CZ46" s="361"/>
      <c r="DA46" s="361"/>
      <c r="DB46" s="361"/>
      <c r="DC46" s="361"/>
      <c r="DD46" s="361"/>
      <c r="DE46" s="361"/>
      <c r="DF46" s="361"/>
      <c r="DG46" s="361"/>
      <c r="DH46" s="361"/>
      <c r="DI46" s="361"/>
      <c r="DJ46" s="361"/>
      <c r="DK46" s="361"/>
      <c r="DL46" s="361"/>
      <c r="DM46" s="361"/>
      <c r="DN46" s="361"/>
      <c r="DO46" s="361"/>
      <c r="DP46" s="361"/>
      <c r="DQ46" s="361"/>
      <c r="DR46" s="361"/>
      <c r="DS46" s="361"/>
      <c r="DT46" s="361"/>
      <c r="DU46" s="361"/>
      <c r="DV46" s="361"/>
      <c r="DW46" s="361"/>
      <c r="DX46" s="361"/>
      <c r="DY46" s="361"/>
      <c r="DZ46" s="361"/>
      <c r="EA46" s="361"/>
      <c r="EB46" s="361"/>
      <c r="EC46" s="361"/>
      <c r="ED46" s="361"/>
      <c r="EE46" s="361"/>
      <c r="EF46" s="361"/>
      <c r="EG46" s="361"/>
      <c r="EH46" s="361"/>
      <c r="EI46" s="361"/>
      <c r="EJ46" s="361"/>
      <c r="EK46" s="361"/>
      <c r="EL46" s="361"/>
      <c r="EM46" s="361"/>
      <c r="EN46" s="361"/>
      <c r="EO46" s="361"/>
      <c r="EP46" s="361"/>
      <c r="EQ46" s="361"/>
      <c r="ER46" s="361"/>
      <c r="ES46" s="361"/>
      <c r="ET46" s="361"/>
      <c r="EU46" s="361"/>
      <c r="EV46" s="361"/>
      <c r="EW46" s="361"/>
      <c r="EX46" s="361"/>
      <c r="EY46" s="361"/>
      <c r="EZ46" s="361"/>
      <c r="FA46" s="361"/>
      <c r="FB46" s="361"/>
      <c r="FC46" s="361"/>
      <c r="FD46" s="361"/>
      <c r="FE46" s="361"/>
      <c r="FF46" s="361"/>
      <c r="FG46" s="361"/>
      <c r="FH46" s="361"/>
      <c r="FI46" s="361"/>
      <c r="FJ46" s="361"/>
      <c r="FK46" s="361"/>
      <c r="FL46" s="361"/>
      <c r="FM46" s="361"/>
      <c r="FN46" s="361"/>
      <c r="FO46" s="361"/>
      <c r="FP46" s="361"/>
      <c r="FQ46" s="361"/>
      <c r="FR46" s="361"/>
      <c r="FS46" s="361"/>
      <c r="FT46" s="361"/>
      <c r="FU46" s="361"/>
      <c r="FV46" s="361"/>
      <c r="FW46" s="361"/>
      <c r="FX46" s="361"/>
      <c r="FY46" s="361"/>
      <c r="FZ46" s="361"/>
      <c r="GA46" s="361"/>
      <c r="GB46" s="361"/>
      <c r="GC46" s="361"/>
      <c r="GD46" s="361"/>
      <c r="GE46" s="361"/>
      <c r="GF46" s="361"/>
      <c r="GG46" s="361"/>
      <c r="GH46" s="361"/>
      <c r="GI46" s="361"/>
      <c r="GJ46" s="361"/>
      <c r="GK46" s="361"/>
      <c r="GL46" s="361"/>
      <c r="GM46" s="361"/>
      <c r="GN46" s="361"/>
      <c r="GO46" s="361"/>
      <c r="GP46" s="361"/>
      <c r="GQ46" s="361"/>
      <c r="GR46" s="361"/>
      <c r="GS46" s="361"/>
      <c r="GT46" s="361"/>
      <c r="GU46" s="361"/>
      <c r="GV46" s="361"/>
      <c r="GW46" s="361"/>
      <c r="GX46" s="361"/>
      <c r="GY46" s="361"/>
      <c r="GZ46" s="361"/>
      <c r="HA46" s="361"/>
      <c r="HB46" s="361"/>
      <c r="HC46" s="361"/>
      <c r="HD46" s="361"/>
      <c r="HE46" s="361"/>
      <c r="HF46" s="361"/>
      <c r="HG46" s="361"/>
      <c r="HH46" s="361"/>
      <c r="HI46" s="361"/>
      <c r="HJ46" s="361"/>
      <c r="HK46" s="361"/>
      <c r="HL46" s="361"/>
      <c r="HM46" s="361"/>
      <c r="HN46" s="361"/>
      <c r="HO46" s="361"/>
      <c r="HP46" s="361"/>
      <c r="HQ46" s="361"/>
      <c r="HR46" s="361"/>
      <c r="HS46" s="361"/>
      <c r="HT46" s="361"/>
      <c r="HU46" s="361"/>
      <c r="HV46" s="361"/>
      <c r="HW46" s="361"/>
      <c r="HX46" s="361"/>
      <c r="HY46" s="361"/>
      <c r="HZ46" s="361"/>
      <c r="IA46" s="361"/>
      <c r="IB46" s="361"/>
      <c r="IC46" s="361"/>
      <c r="ID46" s="361"/>
      <c r="IE46" s="361"/>
      <c r="IF46" s="361"/>
      <c r="IG46" s="361"/>
      <c r="IH46" s="361"/>
      <c r="II46" s="361"/>
      <c r="IJ46" s="361"/>
      <c r="IK46" s="361"/>
      <c r="IL46" s="361"/>
      <c r="IM46" s="361"/>
      <c r="IN46" s="361"/>
      <c r="IO46" s="361"/>
      <c r="IP46" s="361"/>
      <c r="IQ46" s="361"/>
      <c r="IR46" s="361"/>
      <c r="IS46" s="361"/>
      <c r="IT46" s="361"/>
      <c r="IU46" s="361"/>
      <c r="IV46" s="361"/>
      <c r="IW46" s="361"/>
      <c r="IX46" s="361"/>
      <c r="IY46" s="346" t="s">
        <v>69</v>
      </c>
      <c r="IZ46" s="346"/>
      <c r="JA46" s="346"/>
      <c r="JB46" s="346"/>
      <c r="JC46" s="346"/>
      <c r="JD46" s="346"/>
      <c r="JE46" s="361"/>
    </row>
    <row r="47" spans="1:265" s="175" customFormat="1" ht="21" customHeight="1" thickBot="1">
      <c r="A47" s="462"/>
      <c r="B47" s="463" t="s">
        <v>12</v>
      </c>
      <c r="C47" s="463"/>
      <c r="D47" s="463"/>
      <c r="E47" s="464">
        <f>SUM(E5:E46)</f>
        <v>7</v>
      </c>
      <c r="F47" s="465">
        <f ca="1">SUM(F5:F46)</f>
        <v>38876.58</v>
      </c>
      <c r="G47" s="465">
        <f ca="1">SUM(G5:G46)</f>
        <v>1259.2131999999999</v>
      </c>
      <c r="H47" s="466">
        <f ca="1">SUM(H5:H46)</f>
        <v>37617.366800000003</v>
      </c>
      <c r="I47" s="360"/>
      <c r="J47" s="360"/>
      <c r="K47" s="359"/>
      <c r="L47" s="359"/>
      <c r="M47" s="360"/>
      <c r="N47" s="361"/>
      <c r="O47" s="361"/>
      <c r="P47" s="361"/>
      <c r="Q47" s="361"/>
      <c r="R47" s="361"/>
      <c r="S47" s="361"/>
      <c r="T47" s="361"/>
      <c r="U47" s="361"/>
      <c r="V47" s="361"/>
      <c r="W47" s="361"/>
      <c r="X47" s="361"/>
      <c r="Y47" s="361"/>
      <c r="Z47" s="361"/>
      <c r="AA47" s="361"/>
      <c r="AB47" s="361"/>
      <c r="AC47" s="361"/>
      <c r="AD47" s="361"/>
      <c r="AE47" s="361"/>
      <c r="AF47" s="361"/>
      <c r="AG47" s="361"/>
      <c r="AH47" s="361"/>
      <c r="AI47" s="361"/>
      <c r="AJ47" s="361"/>
      <c r="AK47" s="361"/>
      <c r="AL47" s="361"/>
      <c r="AM47" s="361"/>
      <c r="AN47" s="361"/>
      <c r="AO47" s="361"/>
      <c r="AP47" s="361"/>
      <c r="AQ47" s="361"/>
      <c r="AR47" s="361"/>
      <c r="AS47" s="361"/>
      <c r="AT47" s="361"/>
      <c r="AU47" s="361"/>
      <c r="AV47" s="361"/>
      <c r="AW47" s="361"/>
      <c r="AX47" s="361"/>
      <c r="AY47" s="361"/>
      <c r="AZ47" s="361"/>
      <c r="BA47" s="361"/>
      <c r="BB47" s="361"/>
      <c r="BC47" s="361"/>
      <c r="BD47" s="361"/>
      <c r="BE47" s="361"/>
      <c r="BF47" s="361"/>
      <c r="BG47" s="361"/>
      <c r="BH47" s="361"/>
      <c r="BI47" s="361"/>
      <c r="BJ47" s="361"/>
      <c r="BK47" s="361"/>
      <c r="BL47" s="361"/>
      <c r="BM47" s="361"/>
      <c r="BN47" s="361"/>
      <c r="BO47" s="361"/>
      <c r="BP47" s="361"/>
      <c r="BQ47" s="361"/>
      <c r="BR47" s="361"/>
      <c r="BS47" s="361"/>
      <c r="BT47" s="361"/>
      <c r="BU47" s="361"/>
      <c r="BV47" s="361"/>
      <c r="BW47" s="361"/>
      <c r="BX47" s="361"/>
      <c r="BY47" s="361"/>
      <c r="BZ47" s="361"/>
      <c r="CA47" s="361"/>
      <c r="CB47" s="361"/>
      <c r="CC47" s="361"/>
      <c r="CD47" s="361"/>
      <c r="CE47" s="361"/>
      <c r="CF47" s="361"/>
      <c r="CG47" s="361"/>
      <c r="CH47" s="361"/>
      <c r="CI47" s="361"/>
      <c r="CJ47" s="361"/>
      <c r="CK47" s="361"/>
      <c r="CL47" s="361"/>
      <c r="CM47" s="361"/>
      <c r="CN47" s="361"/>
      <c r="CO47" s="361"/>
      <c r="CP47" s="361"/>
      <c r="CQ47" s="361"/>
      <c r="CR47" s="361"/>
      <c r="CS47" s="361"/>
      <c r="CT47" s="361"/>
      <c r="CU47" s="361"/>
      <c r="CV47" s="361"/>
      <c r="CW47" s="361"/>
      <c r="CX47" s="361"/>
      <c r="CY47" s="361"/>
      <c r="CZ47" s="361"/>
      <c r="DA47" s="361"/>
      <c r="DB47" s="361"/>
      <c r="DC47" s="361"/>
      <c r="DD47" s="361"/>
      <c r="DE47" s="361"/>
      <c r="DF47" s="361"/>
      <c r="DG47" s="361"/>
      <c r="DH47" s="361"/>
      <c r="DI47" s="361"/>
      <c r="DJ47" s="361"/>
      <c r="DK47" s="361"/>
      <c r="DL47" s="361"/>
      <c r="DM47" s="361"/>
      <c r="DN47" s="361"/>
      <c r="DO47" s="361"/>
      <c r="DP47" s="361"/>
      <c r="DQ47" s="361"/>
      <c r="DR47" s="361"/>
      <c r="DS47" s="361"/>
      <c r="DT47" s="361"/>
      <c r="DU47" s="361"/>
      <c r="DV47" s="361"/>
      <c r="DW47" s="361"/>
      <c r="DX47" s="361"/>
      <c r="DY47" s="361"/>
      <c r="DZ47" s="361"/>
      <c r="EA47" s="361"/>
      <c r="EB47" s="361"/>
      <c r="EC47" s="361"/>
      <c r="ED47" s="361"/>
      <c r="EE47" s="361"/>
      <c r="EF47" s="361"/>
      <c r="EG47" s="361"/>
      <c r="EH47" s="361"/>
      <c r="EI47" s="361"/>
      <c r="EJ47" s="361"/>
      <c r="EK47" s="361"/>
      <c r="EL47" s="361"/>
      <c r="EM47" s="361"/>
      <c r="EN47" s="361"/>
      <c r="EO47" s="361"/>
      <c r="EP47" s="361"/>
      <c r="EQ47" s="361"/>
      <c r="ER47" s="361"/>
      <c r="ES47" s="361"/>
      <c r="ET47" s="361"/>
      <c r="EU47" s="361"/>
      <c r="EV47" s="361"/>
      <c r="EW47" s="361"/>
      <c r="EX47" s="361"/>
      <c r="EY47" s="361"/>
      <c r="EZ47" s="361"/>
      <c r="FA47" s="361"/>
      <c r="FB47" s="361"/>
      <c r="FC47" s="361"/>
      <c r="FD47" s="361"/>
      <c r="FE47" s="361"/>
      <c r="FF47" s="361"/>
      <c r="FG47" s="361"/>
      <c r="FH47" s="361"/>
      <c r="FI47" s="361"/>
      <c r="FJ47" s="361"/>
      <c r="FK47" s="361"/>
      <c r="FL47" s="361"/>
      <c r="FM47" s="361"/>
      <c r="FN47" s="361"/>
      <c r="FO47" s="361"/>
      <c r="FP47" s="361"/>
      <c r="FQ47" s="361"/>
      <c r="FR47" s="361"/>
      <c r="FS47" s="361"/>
      <c r="FT47" s="361"/>
      <c r="FU47" s="361"/>
      <c r="FV47" s="361"/>
      <c r="FW47" s="361"/>
      <c r="FX47" s="361"/>
      <c r="FY47" s="361"/>
      <c r="FZ47" s="361"/>
      <c r="GA47" s="361"/>
      <c r="GB47" s="361"/>
      <c r="GC47" s="361"/>
      <c r="GD47" s="361"/>
      <c r="GE47" s="361"/>
      <c r="GF47" s="361"/>
      <c r="GG47" s="361"/>
      <c r="GH47" s="361"/>
      <c r="GI47" s="361"/>
      <c r="GJ47" s="361"/>
      <c r="GK47" s="361"/>
      <c r="GL47" s="361"/>
      <c r="GM47" s="361"/>
      <c r="GN47" s="361"/>
      <c r="GO47" s="361"/>
      <c r="GP47" s="361"/>
      <c r="GQ47" s="361"/>
      <c r="GR47" s="361"/>
      <c r="GS47" s="361"/>
      <c r="GT47" s="361"/>
      <c r="GU47" s="361"/>
      <c r="GV47" s="361"/>
      <c r="GW47" s="361"/>
      <c r="GX47" s="361"/>
      <c r="GY47" s="361"/>
      <c r="GZ47" s="361"/>
      <c r="HA47" s="361"/>
      <c r="HB47" s="361"/>
      <c r="HC47" s="361"/>
      <c r="HD47" s="361"/>
      <c r="HE47" s="361"/>
      <c r="HF47" s="361"/>
      <c r="HG47" s="361"/>
      <c r="HH47" s="361"/>
      <c r="HI47" s="361"/>
      <c r="HJ47" s="361"/>
      <c r="HK47" s="361"/>
      <c r="HL47" s="361"/>
      <c r="HM47" s="361"/>
      <c r="HN47" s="361"/>
      <c r="HO47" s="361"/>
      <c r="HP47" s="361"/>
      <c r="HQ47" s="361"/>
      <c r="HR47" s="361"/>
      <c r="HS47" s="361"/>
      <c r="HT47" s="361"/>
      <c r="HU47" s="361"/>
      <c r="HV47" s="361"/>
      <c r="HW47" s="361"/>
      <c r="HX47" s="361"/>
      <c r="HY47" s="361"/>
      <c r="HZ47" s="361"/>
      <c r="IA47" s="361"/>
      <c r="IB47" s="361"/>
      <c r="IC47" s="361"/>
      <c r="ID47" s="361"/>
      <c r="IE47" s="361"/>
      <c r="IF47" s="361"/>
      <c r="IG47" s="361"/>
      <c r="IH47" s="361"/>
      <c r="II47" s="361"/>
      <c r="IJ47" s="361"/>
      <c r="IK47" s="361"/>
      <c r="IL47" s="361"/>
      <c r="IM47" s="361"/>
      <c r="IN47" s="361"/>
      <c r="IO47" s="361"/>
      <c r="IP47" s="361"/>
      <c r="IQ47" s="361"/>
      <c r="IR47" s="361"/>
      <c r="IS47" s="361"/>
      <c r="IT47" s="361"/>
      <c r="IU47" s="361"/>
      <c r="IV47" s="361"/>
      <c r="IW47" s="361"/>
      <c r="IX47" s="361"/>
      <c r="IY47" s="346" t="s">
        <v>90</v>
      </c>
      <c r="IZ47" s="346"/>
      <c r="JA47" s="346"/>
      <c r="JB47" s="346"/>
      <c r="JC47" s="346"/>
      <c r="JD47" s="346"/>
      <c r="JE47" s="361"/>
    </row>
    <row r="48" spans="1:265" s="175" customFormat="1" ht="13.95" customHeight="1" thickTop="1">
      <c r="A48" s="361"/>
      <c r="B48" s="368"/>
      <c r="C48" s="368"/>
      <c r="D48" s="368"/>
      <c r="E48" s="367"/>
      <c r="F48" s="367"/>
      <c r="G48" s="367"/>
      <c r="H48" s="367"/>
      <c r="I48" s="367"/>
      <c r="J48" s="361"/>
      <c r="K48" s="360"/>
      <c r="L48" s="360"/>
      <c r="M48" s="361"/>
      <c r="N48" s="361"/>
      <c r="IY48" s="346" t="s">
        <v>21</v>
      </c>
      <c r="IZ48" s="346"/>
      <c r="JA48" s="346"/>
      <c r="JB48" s="346"/>
      <c r="JC48" s="346"/>
      <c r="JD48" s="346"/>
      <c r="JE48" s="361"/>
    </row>
    <row r="49" spans="1:265" s="175" customFormat="1" ht="7.95" customHeight="1" thickBot="1">
      <c r="A49" s="361"/>
      <c r="B49" s="368"/>
      <c r="C49" s="368"/>
      <c r="D49" s="368"/>
      <c r="E49" s="367"/>
      <c r="F49" s="367"/>
      <c r="G49" s="367"/>
      <c r="H49" s="367"/>
      <c r="I49" s="367"/>
      <c r="J49" s="361"/>
      <c r="K49" s="360"/>
      <c r="L49" s="360"/>
      <c r="M49" s="361"/>
      <c r="N49" s="361"/>
      <c r="JE49" s="361"/>
    </row>
    <row r="50" spans="1:265" s="804" customFormat="1" ht="19.95" customHeight="1">
      <c r="A50" s="799"/>
      <c r="B50" s="800" t="s">
        <v>93</v>
      </c>
      <c r="C50" s="801"/>
      <c r="D50" s="801"/>
      <c r="E50" s="801"/>
      <c r="F50" s="801"/>
      <c r="G50" s="801"/>
      <c r="H50" s="801"/>
      <c r="I50" s="801"/>
      <c r="J50" s="801"/>
      <c r="K50" s="802"/>
      <c r="L50" s="803"/>
      <c r="M50" s="799"/>
      <c r="JD50" s="799"/>
    </row>
    <row r="51" spans="1:265" s="809" customFormat="1" ht="14.55" customHeight="1">
      <c r="A51" s="805"/>
      <c r="B51" s="806"/>
      <c r="C51" s="807"/>
      <c r="D51" s="807"/>
      <c r="E51" s="807"/>
      <c r="F51" s="807"/>
      <c r="G51" s="807"/>
      <c r="H51" s="807"/>
      <c r="I51" s="807"/>
      <c r="J51" s="807"/>
      <c r="K51" s="808"/>
      <c r="L51" s="803"/>
      <c r="M51" s="805"/>
      <c r="JD51" s="805"/>
    </row>
    <row r="52" spans="1:265" s="815" customFormat="1" ht="33.6" customHeight="1" thickBot="1">
      <c r="A52" s="810"/>
      <c r="B52" s="811" t="s">
        <v>41</v>
      </c>
      <c r="C52" s="812" t="s">
        <v>13</v>
      </c>
      <c r="D52" s="812" t="s">
        <v>35</v>
      </c>
      <c r="E52" s="813" t="s">
        <v>33</v>
      </c>
      <c r="F52" s="813" t="s">
        <v>15</v>
      </c>
      <c r="G52" s="813" t="s">
        <v>34</v>
      </c>
      <c r="H52" s="812" t="s">
        <v>32</v>
      </c>
      <c r="I52" s="812" t="s">
        <v>30</v>
      </c>
      <c r="J52" s="812" t="s">
        <v>76</v>
      </c>
      <c r="K52" s="814" t="s">
        <v>77</v>
      </c>
      <c r="L52" s="803"/>
      <c r="M52" s="810"/>
      <c r="JD52" s="810"/>
    </row>
    <row r="53" spans="1:265" ht="19.95" customHeight="1">
      <c r="A53" s="369"/>
      <c r="B53" s="469" t="s">
        <v>23</v>
      </c>
      <c r="C53" s="470" t="s">
        <v>155</v>
      </c>
      <c r="D53" s="471" t="s">
        <v>70</v>
      </c>
      <c r="E53" s="472">
        <f t="shared" ref="E53:E69" ca="1" si="4">SUM(G93)</f>
        <v>4999.9392000000007</v>
      </c>
      <c r="F53" s="467">
        <v>0</v>
      </c>
      <c r="G53" s="473">
        <f ca="1">SUM(E53-F53)</f>
        <v>4999.9392000000007</v>
      </c>
      <c r="H53" s="474">
        <v>0</v>
      </c>
      <c r="I53" s="475">
        <f ca="1">SUM(G53-H53)</f>
        <v>4999.9392000000007</v>
      </c>
      <c r="J53" s="476" t="s">
        <v>88</v>
      </c>
      <c r="K53" s="477" t="s">
        <v>81</v>
      </c>
      <c r="L53" s="687"/>
      <c r="M53" s="369"/>
      <c r="JD53" s="369"/>
    </row>
    <row r="54" spans="1:265" ht="19.95" customHeight="1">
      <c r="A54" s="369"/>
      <c r="B54" s="478"/>
      <c r="C54" s="329" t="s">
        <v>155</v>
      </c>
      <c r="D54" s="197" t="s">
        <v>71</v>
      </c>
      <c r="E54" s="222">
        <f t="shared" ca="1" si="4"/>
        <v>0</v>
      </c>
      <c r="F54" s="223"/>
      <c r="G54" s="224">
        <f ca="1">SUM(E54-F54)</f>
        <v>0</v>
      </c>
      <c r="H54" s="198">
        <v>0</v>
      </c>
      <c r="I54" s="479">
        <f ca="1">SUM(G54-H54)</f>
        <v>0</v>
      </c>
      <c r="J54" s="199" t="s">
        <v>88</v>
      </c>
      <c r="K54" s="480" t="s">
        <v>82</v>
      </c>
      <c r="L54" s="687"/>
      <c r="M54" s="369"/>
      <c r="JD54" s="369"/>
    </row>
    <row r="55" spans="1:265" ht="19.95" customHeight="1">
      <c r="A55" s="369"/>
      <c r="B55" s="478"/>
      <c r="C55" s="329" t="s">
        <v>155</v>
      </c>
      <c r="D55" s="197" t="s">
        <v>73</v>
      </c>
      <c r="E55" s="228">
        <f t="shared" ca="1" si="4"/>
        <v>0</v>
      </c>
      <c r="F55" s="224">
        <v>0</v>
      </c>
      <c r="G55" s="224">
        <f ca="1">SUM(E55-F55)</f>
        <v>0</v>
      </c>
      <c r="H55" s="194">
        <v>0</v>
      </c>
      <c r="I55" s="479">
        <f ca="1">SUM(G55-H55)</f>
        <v>0</v>
      </c>
      <c r="J55" s="199" t="s">
        <v>88</v>
      </c>
      <c r="K55" s="480" t="s">
        <v>84</v>
      </c>
      <c r="L55" s="687"/>
      <c r="M55" s="369"/>
      <c r="JD55" s="369"/>
    </row>
    <row r="56" spans="1:265" ht="19.95" customHeight="1">
      <c r="A56" s="369"/>
      <c r="B56" s="478"/>
      <c r="C56" s="345" t="s">
        <v>17</v>
      </c>
      <c r="D56" s="197" t="s">
        <v>74</v>
      </c>
      <c r="E56" s="228">
        <f t="shared" ca="1" si="4"/>
        <v>0</v>
      </c>
      <c r="F56" s="224">
        <v>0</v>
      </c>
      <c r="G56" s="224">
        <f t="shared" ref="G56:G64" ca="1" si="5">SUM(E56-F56)</f>
        <v>0</v>
      </c>
      <c r="H56" s="194">
        <v>0</v>
      </c>
      <c r="I56" s="479">
        <f t="shared" ref="I56:I65" ca="1" si="6">SUM(G56-H56)</f>
        <v>0</v>
      </c>
      <c r="J56" s="199" t="s">
        <v>88</v>
      </c>
      <c r="K56" s="481" t="s">
        <v>163</v>
      </c>
      <c r="L56" s="687"/>
      <c r="M56" s="369"/>
      <c r="JD56" s="369"/>
    </row>
    <row r="57" spans="1:265" ht="20.399999999999999" customHeight="1">
      <c r="A57" s="369"/>
      <c r="B57" s="478"/>
      <c r="C57" s="345" t="s">
        <v>17</v>
      </c>
      <c r="D57" s="197" t="s">
        <v>75</v>
      </c>
      <c r="E57" s="228">
        <f t="shared" si="4"/>
        <v>5084.5788000000002</v>
      </c>
      <c r="F57" s="224">
        <v>0</v>
      </c>
      <c r="G57" s="224">
        <f t="shared" si="5"/>
        <v>5084.5788000000002</v>
      </c>
      <c r="H57" s="194">
        <v>0</v>
      </c>
      <c r="I57" s="479">
        <f t="shared" si="6"/>
        <v>5084.5788000000002</v>
      </c>
      <c r="J57" s="199" t="s">
        <v>88</v>
      </c>
      <c r="K57" s="481" t="s">
        <v>164</v>
      </c>
      <c r="L57" s="687"/>
      <c r="M57" s="369"/>
      <c r="JD57" s="369"/>
    </row>
    <row r="58" spans="1:265" ht="19.95" customHeight="1">
      <c r="A58" s="369"/>
      <c r="B58" s="478"/>
      <c r="C58" s="345" t="s">
        <v>17</v>
      </c>
      <c r="D58" s="197" t="s">
        <v>154</v>
      </c>
      <c r="E58" s="228">
        <f t="shared" ca="1" si="4"/>
        <v>0</v>
      </c>
      <c r="F58" s="224">
        <v>0</v>
      </c>
      <c r="G58" s="224">
        <f t="shared" ca="1" si="5"/>
        <v>0</v>
      </c>
      <c r="H58" s="194">
        <v>0</v>
      </c>
      <c r="I58" s="479">
        <f t="shared" ca="1" si="6"/>
        <v>0</v>
      </c>
      <c r="J58" s="199" t="s">
        <v>88</v>
      </c>
      <c r="K58" s="481" t="s">
        <v>165</v>
      </c>
      <c r="L58" s="687"/>
      <c r="M58" s="369"/>
      <c r="JD58" s="369"/>
    </row>
    <row r="59" spans="1:265" ht="19.95" customHeight="1">
      <c r="A59" s="369"/>
      <c r="B59" s="478"/>
      <c r="C59" s="345" t="s">
        <v>17</v>
      </c>
      <c r="D59" s="197" t="s">
        <v>130</v>
      </c>
      <c r="E59" s="228">
        <f t="shared" ca="1" si="4"/>
        <v>9184.6875</v>
      </c>
      <c r="F59" s="224">
        <v>0</v>
      </c>
      <c r="G59" s="224">
        <f t="shared" ca="1" si="5"/>
        <v>9184.6875</v>
      </c>
      <c r="H59" s="194">
        <v>0</v>
      </c>
      <c r="I59" s="479">
        <f t="shared" ca="1" si="6"/>
        <v>9184.6875</v>
      </c>
      <c r="J59" s="199" t="s">
        <v>88</v>
      </c>
      <c r="K59" s="481" t="s">
        <v>131</v>
      </c>
      <c r="L59" s="687"/>
      <c r="M59" s="369"/>
      <c r="JD59" s="369"/>
    </row>
    <row r="60" spans="1:265" ht="19.95" customHeight="1">
      <c r="A60" s="369"/>
      <c r="B60" s="478"/>
      <c r="C60" s="345" t="s">
        <v>17</v>
      </c>
      <c r="D60" s="197" t="s">
        <v>153</v>
      </c>
      <c r="E60" s="228">
        <f t="shared" ca="1" si="4"/>
        <v>0</v>
      </c>
      <c r="F60" s="224">
        <v>0</v>
      </c>
      <c r="G60" s="224">
        <f t="shared" ca="1" si="5"/>
        <v>0</v>
      </c>
      <c r="H60" s="194">
        <v>0</v>
      </c>
      <c r="I60" s="479">
        <f t="shared" ca="1" si="6"/>
        <v>0</v>
      </c>
      <c r="J60" s="199" t="s">
        <v>88</v>
      </c>
      <c r="K60" s="481" t="s">
        <v>166</v>
      </c>
      <c r="L60" s="687"/>
      <c r="M60" s="369"/>
      <c r="JD60" s="369"/>
    </row>
    <row r="61" spans="1:265" ht="19.95" customHeight="1">
      <c r="A61" s="369"/>
      <c r="B61" s="478"/>
      <c r="C61" s="329" t="s">
        <v>78</v>
      </c>
      <c r="D61" s="197" t="s">
        <v>72</v>
      </c>
      <c r="E61" s="228">
        <f t="shared" ca="1" si="4"/>
        <v>0</v>
      </c>
      <c r="F61" s="224">
        <v>0</v>
      </c>
      <c r="G61" s="224">
        <f t="shared" ca="1" si="5"/>
        <v>0</v>
      </c>
      <c r="H61" s="194">
        <v>0</v>
      </c>
      <c r="I61" s="479">
        <f t="shared" ca="1" si="6"/>
        <v>0</v>
      </c>
      <c r="J61" s="199" t="s">
        <v>88</v>
      </c>
      <c r="K61" s="480" t="s">
        <v>83</v>
      </c>
      <c r="L61" s="687"/>
      <c r="M61" s="369"/>
      <c r="JD61" s="369"/>
    </row>
    <row r="62" spans="1:265" ht="19.95" customHeight="1">
      <c r="A62" s="369"/>
      <c r="B62" s="478"/>
      <c r="C62" s="329" t="s">
        <v>78</v>
      </c>
      <c r="D62" s="197" t="s">
        <v>67</v>
      </c>
      <c r="E62" s="228">
        <f t="shared" si="4"/>
        <v>1140.48</v>
      </c>
      <c r="F62" s="224">
        <v>0</v>
      </c>
      <c r="G62" s="224">
        <f t="shared" si="5"/>
        <v>1140.48</v>
      </c>
      <c r="H62" s="194">
        <v>0</v>
      </c>
      <c r="I62" s="479">
        <f t="shared" si="6"/>
        <v>1140.48</v>
      </c>
      <c r="J62" s="199" t="s">
        <v>88</v>
      </c>
      <c r="K62" s="480" t="s">
        <v>85</v>
      </c>
      <c r="L62" s="687"/>
      <c r="M62" s="369"/>
      <c r="JD62" s="369"/>
    </row>
    <row r="63" spans="1:265" ht="19.95" customHeight="1">
      <c r="A63" s="369"/>
      <c r="B63" s="478"/>
      <c r="C63" s="329" t="s">
        <v>78</v>
      </c>
      <c r="D63" s="197" t="s">
        <v>68</v>
      </c>
      <c r="E63" s="228">
        <f t="shared" ca="1" si="4"/>
        <v>0</v>
      </c>
      <c r="F63" s="224">
        <v>0</v>
      </c>
      <c r="G63" s="224">
        <f t="shared" ca="1" si="5"/>
        <v>0</v>
      </c>
      <c r="H63" s="194">
        <v>0</v>
      </c>
      <c r="I63" s="479">
        <f t="shared" ca="1" si="6"/>
        <v>0</v>
      </c>
      <c r="J63" s="199" t="s">
        <v>88</v>
      </c>
      <c r="K63" s="480" t="s">
        <v>86</v>
      </c>
      <c r="L63" s="687"/>
      <c r="M63" s="369"/>
      <c r="JD63" s="369"/>
    </row>
    <row r="64" spans="1:265" ht="19.95" customHeight="1">
      <c r="A64" s="369"/>
      <c r="B64" s="478"/>
      <c r="C64" s="329" t="s">
        <v>78</v>
      </c>
      <c r="D64" s="197" t="s">
        <v>90</v>
      </c>
      <c r="E64" s="228">
        <f t="shared" ca="1" si="4"/>
        <v>0</v>
      </c>
      <c r="F64" s="224">
        <v>0</v>
      </c>
      <c r="G64" s="224">
        <f t="shared" ca="1" si="5"/>
        <v>0</v>
      </c>
      <c r="H64" s="194">
        <v>0</v>
      </c>
      <c r="I64" s="479">
        <f t="shared" ca="1" si="6"/>
        <v>0</v>
      </c>
      <c r="J64" s="199" t="s">
        <v>88</v>
      </c>
      <c r="K64" s="480" t="s">
        <v>91</v>
      </c>
      <c r="L64" s="687"/>
      <c r="M64" s="369"/>
      <c r="JD64" s="369"/>
    </row>
    <row r="65" spans="1:265" ht="19.95" customHeight="1">
      <c r="A65" s="369"/>
      <c r="B65" s="478"/>
      <c r="C65" s="329" t="s">
        <v>78</v>
      </c>
      <c r="D65" s="197" t="s">
        <v>69</v>
      </c>
      <c r="E65" s="228">
        <f t="shared" ca="1" si="4"/>
        <v>0</v>
      </c>
      <c r="F65" s="224">
        <v>0</v>
      </c>
      <c r="G65" s="224">
        <f ca="1">SUM(E65-F65)</f>
        <v>0</v>
      </c>
      <c r="H65" s="194">
        <v>0</v>
      </c>
      <c r="I65" s="479">
        <f t="shared" ca="1" si="6"/>
        <v>0</v>
      </c>
      <c r="J65" s="199" t="s">
        <v>88</v>
      </c>
      <c r="K65" s="482" t="s">
        <v>87</v>
      </c>
      <c r="L65" s="688"/>
      <c r="M65" s="369"/>
      <c r="JD65" s="369"/>
    </row>
    <row r="66" spans="1:265" ht="19.95" customHeight="1" thickBot="1">
      <c r="A66" s="369"/>
      <c r="B66" s="483"/>
      <c r="C66" s="484" t="s">
        <v>18</v>
      </c>
      <c r="D66" s="485" t="s">
        <v>21</v>
      </c>
      <c r="E66" s="486">
        <f t="shared" si="4"/>
        <v>6242.6716799999995</v>
      </c>
      <c r="F66" s="487">
        <v>0</v>
      </c>
      <c r="G66" s="487">
        <f>SUM(E66-F66)</f>
        <v>6242.6716799999995</v>
      </c>
      <c r="H66" s="488">
        <v>0</v>
      </c>
      <c r="I66" s="489">
        <f>SUM(G66-H66)</f>
        <v>6242.6716799999995</v>
      </c>
      <c r="J66" s="490" t="s">
        <v>88</v>
      </c>
      <c r="K66" s="491" t="s">
        <v>167</v>
      </c>
      <c r="L66" s="767" t="s">
        <v>219</v>
      </c>
      <c r="M66" s="369"/>
      <c r="JD66" s="369"/>
    </row>
    <row r="67" spans="1:265" ht="19.95" customHeight="1">
      <c r="A67" s="369"/>
      <c r="B67" s="492" t="s">
        <v>24</v>
      </c>
      <c r="C67" s="493" t="s">
        <v>61</v>
      </c>
      <c r="D67" s="471" t="s">
        <v>97</v>
      </c>
      <c r="E67" s="472">
        <f t="shared" ca="1" si="4"/>
        <v>1880.8683400000002</v>
      </c>
      <c r="F67" s="473">
        <v>0</v>
      </c>
      <c r="G67" s="473">
        <f ca="1">SUM(E67-F67)</f>
        <v>1880.8683400000002</v>
      </c>
      <c r="H67" s="494">
        <v>0</v>
      </c>
      <c r="I67" s="475">
        <f ca="1">SUM(G67-H67)</f>
        <v>1880.8683400000002</v>
      </c>
      <c r="J67" s="476" t="s">
        <v>88</v>
      </c>
      <c r="K67" s="495" t="s">
        <v>98</v>
      </c>
      <c r="L67" s="689"/>
      <c r="M67" s="369"/>
      <c r="JD67" s="369"/>
    </row>
    <row r="68" spans="1:265" ht="19.95" customHeight="1">
      <c r="A68" s="369"/>
      <c r="B68" s="496" t="s">
        <v>159</v>
      </c>
      <c r="C68" s="193" t="s">
        <v>155</v>
      </c>
      <c r="D68" s="197" t="s">
        <v>70</v>
      </c>
      <c r="E68" s="222">
        <f t="shared" ca="1" si="4"/>
        <v>3761.7366800000004</v>
      </c>
      <c r="F68" s="224">
        <v>0</v>
      </c>
      <c r="G68" s="224">
        <f ca="1">SUM(E68-F68)</f>
        <v>3761.7366800000004</v>
      </c>
      <c r="H68" s="194">
        <v>0</v>
      </c>
      <c r="I68" s="479">
        <f ca="1">SUM(G68-H68)</f>
        <v>3761.7366800000004</v>
      </c>
      <c r="J68" s="199" t="s">
        <v>88</v>
      </c>
      <c r="K68" s="497" t="s">
        <v>81</v>
      </c>
      <c r="L68" s="689"/>
      <c r="M68" s="369"/>
      <c r="JD68" s="369"/>
    </row>
    <row r="69" spans="1:265" ht="19.95" customHeight="1" thickBot="1">
      <c r="A69" s="369"/>
      <c r="B69" s="523" t="s">
        <v>162</v>
      </c>
      <c r="C69" s="524" t="s">
        <v>267</v>
      </c>
      <c r="D69" s="498" t="s">
        <v>79</v>
      </c>
      <c r="E69" s="499">
        <f t="shared" ca="1" si="4"/>
        <v>3761.7366800000004</v>
      </c>
      <c r="F69" s="500">
        <v>0</v>
      </c>
      <c r="G69" s="500">
        <f ca="1">SUM(E69-F69)</f>
        <v>3761.7366800000004</v>
      </c>
      <c r="H69" s="501">
        <v>0</v>
      </c>
      <c r="I69" s="502">
        <f ca="1">SUM(G69-H69)</f>
        <v>3761.7366800000004</v>
      </c>
      <c r="J69" s="503" t="s">
        <v>88</v>
      </c>
      <c r="K69" s="504" t="s">
        <v>89</v>
      </c>
      <c r="L69" s="689"/>
      <c r="M69" s="369"/>
      <c r="JD69" s="369"/>
    </row>
    <row r="70" spans="1:265" s="183" customFormat="1" ht="19.95" customHeight="1" thickBot="1">
      <c r="A70" s="370"/>
      <c r="B70" s="507"/>
      <c r="C70" s="508"/>
      <c r="D70" s="509"/>
      <c r="E70" s="510">
        <f ca="1">SUM(E53:E69)</f>
        <v>36056.698880000004</v>
      </c>
      <c r="F70" s="511"/>
      <c r="G70" s="505">
        <f ca="1">SUM(G53:G69)</f>
        <v>36056.698880000004</v>
      </c>
      <c r="H70" s="512"/>
      <c r="I70" s="506">
        <f ca="1">SUM(I53:I69)</f>
        <v>36056.698880000004</v>
      </c>
      <c r="J70" s="513"/>
      <c r="K70" s="514"/>
      <c r="L70" s="690"/>
      <c r="M70" s="370"/>
      <c r="JD70" s="370"/>
    </row>
    <row r="71" spans="1:265" ht="16.2" thickTop="1">
      <c r="A71" s="369"/>
      <c r="B71" s="371"/>
      <c r="C71" s="371"/>
      <c r="D71" s="372"/>
      <c r="E71" s="373"/>
      <c r="F71" s="374"/>
      <c r="G71" s="374"/>
      <c r="H71" s="186"/>
      <c r="I71" s="369"/>
      <c r="J71" s="369"/>
      <c r="K71" s="369"/>
      <c r="L71" s="369"/>
      <c r="M71" s="369"/>
      <c r="N71" s="369"/>
      <c r="JE71" s="369"/>
    </row>
    <row r="72" spans="1:265" ht="15.6">
      <c r="A72" s="369"/>
      <c r="B72" s="371"/>
      <c r="C72" s="371"/>
      <c r="D72" s="372"/>
      <c r="E72" s="373"/>
      <c r="F72" s="374"/>
      <c r="G72" s="374"/>
      <c r="H72" s="374"/>
      <c r="I72" s="374"/>
      <c r="J72" s="369"/>
      <c r="K72" s="369"/>
      <c r="L72" s="369"/>
      <c r="M72" s="369"/>
      <c r="N72" s="369"/>
      <c r="JE72" s="369"/>
    </row>
    <row r="73" spans="1:265" s="175" customFormat="1" ht="14.55" customHeight="1">
      <c r="A73" s="361"/>
      <c r="B73" s="361"/>
      <c r="C73" s="361"/>
      <c r="D73" s="361"/>
      <c r="E73" s="375"/>
      <c r="F73" s="375"/>
      <c r="G73" s="375"/>
      <c r="H73" s="375"/>
      <c r="I73" s="369"/>
      <c r="J73" s="369"/>
      <c r="K73" s="369"/>
      <c r="L73" s="369"/>
      <c r="M73" s="369"/>
      <c r="N73" s="369"/>
      <c r="JE73" s="361"/>
    </row>
    <row r="74" spans="1:265" ht="13.8">
      <c r="A74" s="369"/>
      <c r="B74" s="369"/>
      <c r="C74" s="369"/>
      <c r="D74" s="369"/>
      <c r="E74" s="186"/>
      <c r="F74" s="186"/>
      <c r="G74" s="186"/>
      <c r="H74" s="186"/>
      <c r="I74" s="369"/>
      <c r="J74" s="369"/>
      <c r="K74" s="369"/>
      <c r="L74" s="369"/>
      <c r="M74" s="369"/>
      <c r="N74" s="369"/>
      <c r="JE74" s="369"/>
    </row>
    <row r="75" spans="1:265" ht="13.8">
      <c r="A75" s="369"/>
      <c r="B75" s="369"/>
      <c r="C75" s="369"/>
      <c r="D75" s="369"/>
      <c r="E75" s="186"/>
      <c r="F75" s="186"/>
      <c r="G75" s="186"/>
      <c r="H75" s="186"/>
      <c r="I75" s="369"/>
      <c r="J75" s="369"/>
      <c r="K75" s="369"/>
      <c r="L75" s="369"/>
      <c r="M75" s="369"/>
      <c r="N75" s="369"/>
      <c r="JE75" s="369"/>
    </row>
    <row r="76" spans="1:265" ht="13.8">
      <c r="A76" s="369"/>
      <c r="B76" s="369"/>
      <c r="C76" s="369"/>
      <c r="D76" s="369"/>
      <c r="E76" s="186"/>
      <c r="F76" s="186"/>
      <c r="G76" s="186"/>
      <c r="H76" s="186"/>
      <c r="I76" s="369"/>
      <c r="J76" s="369"/>
      <c r="K76" s="369"/>
      <c r="L76" s="369"/>
      <c r="M76" s="369"/>
      <c r="N76" s="369"/>
      <c r="JE76" s="369"/>
    </row>
    <row r="77" spans="1:265" ht="13.8">
      <c r="A77" s="369"/>
      <c r="B77" s="369"/>
      <c r="C77" s="369"/>
      <c r="D77" s="369"/>
      <c r="E77" s="186"/>
      <c r="F77" s="186"/>
      <c r="G77" s="186"/>
      <c r="H77" s="186"/>
      <c r="I77" s="369"/>
      <c r="J77" s="369"/>
      <c r="K77" s="369"/>
      <c r="L77" s="369"/>
      <c r="M77" s="369"/>
      <c r="N77" s="369"/>
      <c r="JE77" s="369"/>
    </row>
    <row r="78" spans="1:265" ht="13.8">
      <c r="A78" s="369"/>
      <c r="B78" s="369"/>
      <c r="C78" s="369"/>
      <c r="D78" s="369"/>
      <c r="E78" s="186"/>
      <c r="F78" s="186"/>
      <c r="G78" s="186"/>
      <c r="H78" s="186"/>
      <c r="I78" s="369"/>
      <c r="J78" s="369"/>
      <c r="K78" s="369"/>
      <c r="L78" s="369"/>
      <c r="M78" s="369"/>
      <c r="N78" s="369"/>
      <c r="JE78" s="369"/>
    </row>
    <row r="79" spans="1:265" ht="13.8">
      <c r="A79" s="369"/>
      <c r="B79" s="369"/>
      <c r="C79" s="369"/>
      <c r="D79" s="369"/>
      <c r="E79" s="186"/>
      <c r="F79" s="186"/>
      <c r="G79" s="186"/>
      <c r="H79" s="186"/>
      <c r="I79" s="369"/>
      <c r="J79" s="369"/>
      <c r="K79" s="369"/>
      <c r="L79" s="369"/>
      <c r="M79" s="369"/>
      <c r="N79" s="369"/>
      <c r="JE79" s="369"/>
    </row>
    <row r="80" spans="1:265" ht="13.8">
      <c r="A80" s="369"/>
      <c r="B80" s="369"/>
      <c r="C80" s="369"/>
      <c r="D80" s="369"/>
      <c r="E80" s="186"/>
      <c r="F80" s="186"/>
      <c r="G80" s="186"/>
      <c r="H80" s="186"/>
      <c r="I80" s="369"/>
      <c r="J80" s="369"/>
      <c r="K80" s="369"/>
      <c r="L80" s="369"/>
      <c r="M80" s="369"/>
      <c r="N80" s="369"/>
      <c r="JE80" s="369"/>
    </row>
    <row r="81" spans="1:265" ht="13.8">
      <c r="A81" s="369"/>
      <c r="B81" s="369"/>
      <c r="C81" s="369"/>
      <c r="D81" s="369"/>
      <c r="E81" s="186"/>
      <c r="F81" s="186"/>
      <c r="G81" s="186"/>
      <c r="H81" s="186"/>
      <c r="I81" s="369"/>
      <c r="J81" s="369"/>
      <c r="K81" s="369"/>
      <c r="L81" s="369"/>
      <c r="M81" s="369"/>
      <c r="N81" s="369"/>
      <c r="JE81" s="369"/>
    </row>
    <row r="82" spans="1:265" ht="13.8">
      <c r="A82" s="369"/>
      <c r="B82" s="369"/>
      <c r="C82" s="369"/>
      <c r="D82" s="369"/>
      <c r="E82" s="186"/>
      <c r="F82" s="186"/>
      <c r="G82" s="186"/>
      <c r="H82" s="186"/>
      <c r="I82" s="369"/>
      <c r="J82" s="369"/>
      <c r="K82" s="369"/>
      <c r="L82" s="369"/>
      <c r="M82" s="369"/>
      <c r="N82" s="369"/>
      <c r="JE82" s="369"/>
    </row>
    <row r="83" spans="1:265" ht="13.8">
      <c r="A83" s="369"/>
      <c r="B83" s="369"/>
      <c r="C83" s="369"/>
      <c r="D83" s="369"/>
      <c r="E83" s="186"/>
      <c r="F83" s="186"/>
      <c r="G83" s="186"/>
      <c r="H83" s="186"/>
      <c r="I83" s="369"/>
      <c r="J83" s="369"/>
      <c r="K83" s="369"/>
      <c r="L83" s="369"/>
      <c r="M83" s="369"/>
      <c r="N83" s="369"/>
      <c r="JE83" s="369"/>
    </row>
    <row r="84" spans="1:265" ht="13.8">
      <c r="A84" s="369"/>
      <c r="B84" s="369"/>
      <c r="C84" s="369"/>
      <c r="D84" s="369"/>
      <c r="E84" s="186"/>
      <c r="F84" s="186"/>
      <c r="G84" s="186"/>
      <c r="H84" s="186"/>
      <c r="I84" s="369"/>
      <c r="J84" s="369"/>
      <c r="K84" s="369"/>
      <c r="L84" s="369"/>
      <c r="M84" s="369"/>
      <c r="N84" s="369"/>
      <c r="JE84" s="369"/>
    </row>
    <row r="85" spans="1:265" ht="13.8">
      <c r="A85" s="369"/>
      <c r="B85" s="369"/>
      <c r="C85" s="369"/>
      <c r="D85" s="369"/>
      <c r="E85" s="186"/>
      <c r="F85" s="186"/>
      <c r="G85" s="186"/>
      <c r="H85" s="186"/>
      <c r="I85" s="369"/>
      <c r="J85" s="369"/>
      <c r="K85" s="369"/>
      <c r="L85" s="369"/>
      <c r="M85" s="369"/>
      <c r="N85" s="369"/>
      <c r="JE85" s="369"/>
    </row>
    <row r="86" spans="1:265" ht="13.8">
      <c r="A86" s="369"/>
      <c r="B86" s="369"/>
      <c r="C86" s="369"/>
      <c r="D86" s="369"/>
      <c r="E86" s="186"/>
      <c r="F86" s="186"/>
      <c r="G86" s="186"/>
      <c r="H86" s="186"/>
      <c r="I86" s="369"/>
      <c r="J86" s="369"/>
      <c r="K86" s="369"/>
      <c r="L86" s="369"/>
      <c r="M86" s="369"/>
      <c r="N86" s="369"/>
      <c r="JE86" s="369"/>
    </row>
    <row r="87" spans="1:265" ht="13.8">
      <c r="A87" s="369"/>
      <c r="B87" s="369"/>
      <c r="C87" s="369"/>
      <c r="D87" s="369"/>
      <c r="E87" s="186"/>
      <c r="F87" s="186"/>
      <c r="G87" s="186"/>
      <c r="H87" s="186"/>
      <c r="I87" s="369"/>
      <c r="J87" s="369"/>
      <c r="K87" s="369"/>
      <c r="L87" s="369"/>
      <c r="M87" s="369"/>
      <c r="N87" s="369"/>
      <c r="JE87" s="369"/>
    </row>
    <row r="88" spans="1:265" ht="13.8">
      <c r="A88" s="369"/>
      <c r="B88" s="369"/>
      <c r="C88" s="369"/>
      <c r="D88" s="369"/>
      <c r="E88" s="186"/>
      <c r="F88" s="186"/>
      <c r="G88" s="186"/>
      <c r="H88" s="186"/>
      <c r="I88" s="369"/>
      <c r="J88" s="369"/>
      <c r="K88" s="369"/>
      <c r="L88" s="369"/>
      <c r="M88" s="369"/>
      <c r="N88" s="369"/>
      <c r="JE88" s="369"/>
    </row>
    <row r="89" spans="1:265" ht="13.8">
      <c r="A89" s="369"/>
      <c r="B89" s="369"/>
      <c r="C89" s="369"/>
      <c r="D89" s="369"/>
      <c r="E89" s="186"/>
      <c r="F89" s="186"/>
      <c r="G89" s="186"/>
      <c r="H89" s="186"/>
      <c r="I89" s="369"/>
      <c r="J89" s="369"/>
      <c r="K89" s="369"/>
      <c r="L89" s="369"/>
      <c r="M89" s="369"/>
      <c r="N89" s="369"/>
      <c r="JE89" s="369"/>
    </row>
    <row r="90" spans="1:265" ht="13.95" hidden="1" customHeight="1" thickBot="1">
      <c r="A90" s="369"/>
      <c r="B90" s="369"/>
      <c r="C90" s="369"/>
      <c r="D90" s="369"/>
      <c r="E90" s="186"/>
      <c r="F90" s="186"/>
      <c r="G90" s="186"/>
      <c r="H90" s="186"/>
      <c r="I90" s="369"/>
      <c r="J90" s="369"/>
      <c r="K90" s="369"/>
      <c r="L90" s="369"/>
      <c r="M90" s="369"/>
      <c r="N90" s="369"/>
      <c r="JE90" s="369"/>
    </row>
    <row r="91" spans="1:265" ht="19.95" hidden="1" customHeight="1">
      <c r="A91" s="369"/>
      <c r="B91" s="539" t="s">
        <v>80</v>
      </c>
      <c r="C91" s="540"/>
      <c r="D91" s="540"/>
      <c r="E91" s="540"/>
      <c r="F91" s="540"/>
      <c r="G91" s="541"/>
      <c r="H91" s="376"/>
      <c r="I91" s="377" t="s">
        <v>160</v>
      </c>
      <c r="J91" s="369"/>
      <c r="K91" s="369"/>
      <c r="L91" s="369"/>
      <c r="M91" s="369"/>
      <c r="N91" s="369"/>
      <c r="JE91" s="369"/>
    </row>
    <row r="92" spans="1:265" ht="22.2" hidden="1" customHeight="1" thickBot="1">
      <c r="A92" s="369"/>
      <c r="B92" s="542" t="s">
        <v>41</v>
      </c>
      <c r="C92" s="543" t="s">
        <v>13</v>
      </c>
      <c r="D92" s="543" t="s">
        <v>14</v>
      </c>
      <c r="E92" s="544" t="s">
        <v>22</v>
      </c>
      <c r="F92" s="544" t="s">
        <v>15</v>
      </c>
      <c r="G92" s="545" t="s">
        <v>16</v>
      </c>
      <c r="H92" s="376"/>
      <c r="I92" s="376"/>
      <c r="J92" s="369"/>
      <c r="K92" s="369"/>
      <c r="L92" s="369"/>
      <c r="M92" s="369"/>
      <c r="N92" s="369"/>
      <c r="JE92" s="369"/>
    </row>
    <row r="93" spans="1:265" ht="22.2" hidden="1" customHeight="1">
      <c r="A93" s="369"/>
      <c r="B93" s="534" t="s">
        <v>23</v>
      </c>
      <c r="C93" s="535" t="s">
        <v>155</v>
      </c>
      <c r="D93" s="517" t="s">
        <v>70</v>
      </c>
      <c r="E93" s="516">
        <v>0.75</v>
      </c>
      <c r="F93" s="518">
        <v>0</v>
      </c>
      <c r="G93" s="519">
        <f ca="1">SUMIF($C4:$C47,"คุณนิมิต จุ้ยอยู่ทอง",$H4:$H47)*E93</f>
        <v>4999.9392000000007</v>
      </c>
      <c r="H93" s="378"/>
      <c r="I93" s="376"/>
      <c r="J93" s="369"/>
      <c r="K93" s="369"/>
      <c r="L93" s="369"/>
      <c r="M93" s="369"/>
      <c r="N93" s="369"/>
      <c r="JE93" s="369"/>
    </row>
    <row r="94" spans="1:265" ht="22.2" hidden="1" customHeight="1">
      <c r="A94" s="369"/>
      <c r="B94" s="536"/>
      <c r="C94" s="528" t="s">
        <v>155</v>
      </c>
      <c r="D94" s="379" t="s">
        <v>71</v>
      </c>
      <c r="E94" s="380">
        <v>0.75</v>
      </c>
      <c r="F94" s="521">
        <v>0</v>
      </c>
      <c r="G94" s="522">
        <f ca="1">SUMIF($C5:$C48,"คุณธวัช มีแสง",$H5:$H48)*E94</f>
        <v>0</v>
      </c>
      <c r="H94" s="378"/>
      <c r="I94" s="376"/>
      <c r="J94" s="369"/>
      <c r="K94" s="369"/>
      <c r="L94" s="369"/>
      <c r="M94" s="369"/>
      <c r="N94" s="369"/>
      <c r="JE94" s="369"/>
    </row>
    <row r="95" spans="1:265" ht="22.2" hidden="1" customHeight="1">
      <c r="A95" s="369"/>
      <c r="B95" s="536"/>
      <c r="C95" s="528" t="s">
        <v>155</v>
      </c>
      <c r="D95" s="379" t="s">
        <v>73</v>
      </c>
      <c r="E95" s="380">
        <v>0.75</v>
      </c>
      <c r="F95" s="521">
        <v>0</v>
      </c>
      <c r="G95" s="522">
        <f ca="1">SUMIF($C5:$C47,"คุณนิยนต์ อยู่ทะเล",$H5:$H47)*E95</f>
        <v>0</v>
      </c>
      <c r="H95" s="378"/>
      <c r="I95" s="376"/>
      <c r="J95" s="369"/>
      <c r="K95" s="369"/>
      <c r="L95" s="369"/>
      <c r="M95" s="369"/>
      <c r="N95" s="369"/>
      <c r="JE95" s="369"/>
    </row>
    <row r="96" spans="1:265" ht="22.2" hidden="1" customHeight="1">
      <c r="A96" s="369"/>
      <c r="B96" s="536"/>
      <c r="C96" s="528" t="s">
        <v>17</v>
      </c>
      <c r="D96" s="379" t="s">
        <v>74</v>
      </c>
      <c r="E96" s="380">
        <v>0.75</v>
      </c>
      <c r="F96" s="521">
        <v>0</v>
      </c>
      <c r="G96" s="522">
        <f ca="1">SUMIF($C5:$C47,"คุณจินตนา อ้อยหวาน",$H5:$H47)*E96</f>
        <v>0</v>
      </c>
      <c r="H96" s="378"/>
      <c r="I96" s="376"/>
      <c r="J96" s="369"/>
      <c r="K96" s="369"/>
      <c r="L96" s="369"/>
      <c r="M96" s="369"/>
      <c r="N96" s="369"/>
      <c r="JE96" s="369"/>
    </row>
    <row r="97" spans="1:265" ht="22.2" hidden="1" customHeight="1">
      <c r="A97" s="369"/>
      <c r="B97" s="536"/>
      <c r="C97" s="528" t="s">
        <v>17</v>
      </c>
      <c r="D97" s="379" t="s">
        <v>75</v>
      </c>
      <c r="E97" s="380">
        <v>0.75</v>
      </c>
      <c r="F97" s="521">
        <v>0</v>
      </c>
      <c r="G97" s="522">
        <f>SUMIF($C5:$C47,"คุณพัชรพรรณ พึ่งพา",$H5:$H47)*E97</f>
        <v>5084.5788000000002</v>
      </c>
      <c r="H97" s="378"/>
      <c r="I97" s="376"/>
      <c r="J97" s="369"/>
      <c r="K97" s="369"/>
      <c r="L97" s="369"/>
      <c r="M97" s="369"/>
      <c r="N97" s="369"/>
      <c r="JE97" s="369"/>
    </row>
    <row r="98" spans="1:265" ht="22.2" hidden="1" customHeight="1">
      <c r="A98" s="369"/>
      <c r="B98" s="536"/>
      <c r="C98" s="528" t="s">
        <v>17</v>
      </c>
      <c r="D98" s="379" t="s">
        <v>154</v>
      </c>
      <c r="E98" s="380">
        <v>0.75</v>
      </c>
      <c r="F98" s="521">
        <v>0</v>
      </c>
      <c r="G98" s="522">
        <f ca="1">SUMIF($C5:$C49,"คุณนรินทร์ ปิงมูล",$H5:$H52)*E98</f>
        <v>0</v>
      </c>
      <c r="H98" s="378"/>
      <c r="I98" s="376"/>
      <c r="J98" s="369"/>
      <c r="K98" s="369"/>
      <c r="L98" s="369"/>
      <c r="M98" s="369"/>
      <c r="N98" s="369"/>
      <c r="P98" s="344" t="s">
        <v>161</v>
      </c>
      <c r="JE98" s="369"/>
    </row>
    <row r="99" spans="1:265" ht="22.2" hidden="1" customHeight="1">
      <c r="A99" s="369"/>
      <c r="B99" s="536"/>
      <c r="C99" s="528" t="s">
        <v>17</v>
      </c>
      <c r="D99" s="379" t="s">
        <v>130</v>
      </c>
      <c r="E99" s="380">
        <v>0.75</v>
      </c>
      <c r="F99" s="521">
        <v>0</v>
      </c>
      <c r="G99" s="522">
        <f ca="1">SUMIF($C5:$C47,"คุณชนัฐฎา สนคะมี",$H5:$H47)*E99</f>
        <v>9184.6875</v>
      </c>
      <c r="H99" s="378"/>
      <c r="I99" s="376"/>
      <c r="J99" s="369"/>
      <c r="K99" s="369"/>
      <c r="L99" s="369"/>
      <c r="M99" s="369"/>
      <c r="N99" s="369"/>
      <c r="JE99" s="369"/>
    </row>
    <row r="100" spans="1:265" ht="22.2" hidden="1" customHeight="1">
      <c r="A100" s="369"/>
      <c r="B100" s="536"/>
      <c r="C100" s="528" t="s">
        <v>17</v>
      </c>
      <c r="D100" s="379" t="s">
        <v>153</v>
      </c>
      <c r="E100" s="380">
        <v>0.75</v>
      </c>
      <c r="F100" s="521">
        <v>0</v>
      </c>
      <c r="G100" s="522">
        <f ca="1">SUMIF($C6:$C48,"คุณจิรภิญญา เป็นปึก",$H6:$H48)*E100</f>
        <v>0</v>
      </c>
      <c r="H100" s="378"/>
      <c r="I100" s="376"/>
      <c r="J100" s="369"/>
      <c r="K100" s="369"/>
      <c r="L100" s="369"/>
      <c r="M100" s="369"/>
      <c r="N100" s="369"/>
      <c r="P100" s="343" t="s">
        <v>161</v>
      </c>
      <c r="JE100" s="369"/>
    </row>
    <row r="101" spans="1:265" ht="22.2" hidden="1" customHeight="1">
      <c r="A101" s="369"/>
      <c r="B101" s="536"/>
      <c r="C101" s="528" t="s">
        <v>78</v>
      </c>
      <c r="D101" s="379" t="s">
        <v>72</v>
      </c>
      <c r="E101" s="380">
        <v>0.75</v>
      </c>
      <c r="F101" s="521">
        <v>0</v>
      </c>
      <c r="G101" s="522">
        <f ca="1">SUMIF($C5:$C47,"คุณแดง มูลสองแคว",$H5:$H47)*E101</f>
        <v>0</v>
      </c>
      <c r="H101" s="378"/>
      <c r="I101" s="376"/>
      <c r="J101" s="369"/>
      <c r="K101" s="369"/>
      <c r="L101" s="369"/>
      <c r="M101" s="369"/>
      <c r="N101" s="369"/>
      <c r="JE101" s="369"/>
    </row>
    <row r="102" spans="1:265" ht="22.2" hidden="1" customHeight="1">
      <c r="A102" s="369"/>
      <c r="B102" s="536"/>
      <c r="C102" s="528" t="s">
        <v>78</v>
      </c>
      <c r="D102" s="379" t="s">
        <v>67</v>
      </c>
      <c r="E102" s="380">
        <v>0.75</v>
      </c>
      <c r="F102" s="521">
        <v>0</v>
      </c>
      <c r="G102" s="522">
        <f>SUMIF($C6:$C48,"คุณรุ่งอรุณ อินบุญรอด",$H6:$H48)*E102</f>
        <v>1140.48</v>
      </c>
      <c r="H102" s="378"/>
      <c r="I102" s="376"/>
      <c r="J102" s="369"/>
      <c r="K102" s="369"/>
      <c r="L102" s="369"/>
      <c r="M102" s="369"/>
      <c r="N102" s="369"/>
      <c r="JE102" s="369"/>
    </row>
    <row r="103" spans="1:265" ht="22.2" hidden="1" customHeight="1">
      <c r="A103" s="369"/>
      <c r="B103" s="536"/>
      <c r="C103" s="528" t="s">
        <v>78</v>
      </c>
      <c r="D103" s="379" t="s">
        <v>68</v>
      </c>
      <c r="E103" s="380">
        <v>0.75</v>
      </c>
      <c r="F103" s="521">
        <v>0</v>
      </c>
      <c r="G103" s="522">
        <f ca="1">SUMIF($C7:$C49,"คุณศศินาถ จุ้ยอยู่ทอง",$H7:$H49)*E103</f>
        <v>0</v>
      </c>
      <c r="H103" s="378"/>
      <c r="I103" s="376"/>
      <c r="J103" s="369"/>
      <c r="K103" s="369"/>
      <c r="L103" s="369"/>
      <c r="M103" s="369"/>
      <c r="N103" s="369"/>
      <c r="JE103" s="369"/>
    </row>
    <row r="104" spans="1:265" ht="22.2" hidden="1" customHeight="1">
      <c r="A104" s="369"/>
      <c r="B104" s="536"/>
      <c r="C104" s="528" t="s">
        <v>78</v>
      </c>
      <c r="D104" s="379" t="s">
        <v>90</v>
      </c>
      <c r="E104" s="380">
        <v>0.75</v>
      </c>
      <c r="F104" s="521">
        <v>0</v>
      </c>
      <c r="G104" s="522">
        <f ca="1">SUMIF($C8:$C50,"คุณณรงศ์ศักย์ เหล่ารัตนเวช",$H8:$H50)*E104</f>
        <v>0</v>
      </c>
      <c r="H104" s="378"/>
      <c r="I104" s="376"/>
      <c r="J104" s="369"/>
      <c r="K104" s="369"/>
      <c r="L104" s="369"/>
      <c r="M104" s="369"/>
      <c r="N104" s="369"/>
      <c r="JE104" s="369"/>
    </row>
    <row r="105" spans="1:265" ht="22.2" hidden="1" customHeight="1">
      <c r="A105" s="369"/>
      <c r="B105" s="536"/>
      <c r="C105" s="528" t="s">
        <v>78</v>
      </c>
      <c r="D105" s="379" t="s">
        <v>69</v>
      </c>
      <c r="E105" s="380">
        <v>0.75</v>
      </c>
      <c r="F105" s="521">
        <v>0</v>
      </c>
      <c r="G105" s="522">
        <f ca="1">SUMIF($C9:$C51,"คุณธัญลักษณ์ หมื่นหลุบกุง",$H9:$H51)*E105</f>
        <v>0</v>
      </c>
      <c r="H105" s="378"/>
      <c r="I105" s="376"/>
      <c r="J105" s="369"/>
      <c r="K105" s="369"/>
      <c r="L105" s="369"/>
      <c r="M105" s="369"/>
      <c r="N105" s="369"/>
      <c r="JE105" s="369"/>
    </row>
    <row r="106" spans="1:265" ht="22.2" hidden="1" customHeight="1" thickBot="1">
      <c r="A106" s="369"/>
      <c r="B106" s="537"/>
      <c r="C106" s="538" t="s">
        <v>18</v>
      </c>
      <c r="D106" s="525" t="s">
        <v>21</v>
      </c>
      <c r="E106" s="524">
        <v>0.6</v>
      </c>
      <c r="F106" s="526">
        <v>0</v>
      </c>
      <c r="G106" s="527">
        <f>SUMIF($C10:$C52,"คุณจันทราภรณ์ สุภาพวนิช",$H10:$H52)*E106</f>
        <v>6242.6716799999995</v>
      </c>
      <c r="H106" s="378"/>
      <c r="I106" s="376"/>
      <c r="J106" s="369"/>
      <c r="K106" s="369"/>
      <c r="L106" s="369"/>
      <c r="M106" s="369"/>
      <c r="N106" s="369"/>
      <c r="JE106" s="369"/>
    </row>
    <row r="107" spans="1:265" ht="22.2" hidden="1" customHeight="1">
      <c r="A107" s="369"/>
      <c r="B107" s="529" t="s">
        <v>24</v>
      </c>
      <c r="C107" s="530" t="s">
        <v>61</v>
      </c>
      <c r="D107" s="531" t="s">
        <v>97</v>
      </c>
      <c r="E107" s="530">
        <v>0.05</v>
      </c>
      <c r="F107" s="532">
        <v>0</v>
      </c>
      <c r="G107" s="533">
        <f ca="1">$H$47*E107</f>
        <v>1880.8683400000002</v>
      </c>
      <c r="H107" s="376"/>
      <c r="I107" s="376"/>
      <c r="J107" s="369"/>
      <c r="K107" s="369"/>
      <c r="L107" s="369"/>
      <c r="M107" s="369"/>
      <c r="N107" s="369"/>
      <c r="JE107" s="369"/>
    </row>
    <row r="108" spans="1:265" ht="22.2" hidden="1" customHeight="1">
      <c r="A108" s="369"/>
      <c r="B108" s="520" t="s">
        <v>159</v>
      </c>
      <c r="C108" s="380" t="s">
        <v>155</v>
      </c>
      <c r="D108" s="379" t="s">
        <v>70</v>
      </c>
      <c r="E108" s="380">
        <v>0.1</v>
      </c>
      <c r="F108" s="521">
        <v>0</v>
      </c>
      <c r="G108" s="522">
        <f ca="1">$H$47*E108</f>
        <v>3761.7366800000004</v>
      </c>
      <c r="H108" s="376"/>
      <c r="I108" s="376"/>
      <c r="J108" s="369"/>
      <c r="K108" s="369"/>
      <c r="L108" s="369"/>
      <c r="M108" s="369"/>
      <c r="N108" s="369"/>
      <c r="JE108" s="369"/>
    </row>
    <row r="109" spans="1:265" ht="22.2" hidden="1" customHeight="1" thickBot="1">
      <c r="A109" s="369"/>
      <c r="B109" s="523" t="s">
        <v>162</v>
      </c>
      <c r="C109" s="524" t="s">
        <v>267</v>
      </c>
      <c r="D109" s="525" t="s">
        <v>79</v>
      </c>
      <c r="E109" s="524">
        <v>0.1</v>
      </c>
      <c r="F109" s="526">
        <v>0</v>
      </c>
      <c r="G109" s="527">
        <f ca="1">$H$47*E109</f>
        <v>3761.7366800000004</v>
      </c>
      <c r="H109" s="376"/>
      <c r="I109" s="376"/>
      <c r="J109" s="369"/>
      <c r="K109" s="369"/>
      <c r="L109" s="369"/>
      <c r="M109" s="369"/>
      <c r="N109" s="369"/>
      <c r="JE109" s="369"/>
    </row>
    <row r="110" spans="1:265" ht="18.600000000000001" hidden="1" customHeight="1" thickBot="1">
      <c r="A110" s="369"/>
      <c r="B110" s="371"/>
      <c r="C110" s="371"/>
      <c r="D110" s="372"/>
      <c r="E110" s="373"/>
      <c r="F110" s="374"/>
      <c r="G110" s="515">
        <f ca="1">SUM(G93:G109)</f>
        <v>36056.698880000004</v>
      </c>
      <c r="H110" s="376"/>
      <c r="I110" s="369"/>
      <c r="J110" s="369"/>
      <c r="K110" s="369"/>
      <c r="L110" s="369"/>
      <c r="M110" s="369"/>
      <c r="N110" s="369"/>
      <c r="JE110" s="369"/>
    </row>
    <row r="111" spans="1:265" ht="13.8">
      <c r="A111" s="369"/>
      <c r="B111" s="369"/>
      <c r="C111" s="369"/>
      <c r="D111" s="369"/>
      <c r="E111" s="186"/>
      <c r="F111" s="186"/>
      <c r="G111" s="186"/>
      <c r="H111" s="376"/>
      <c r="I111" s="186"/>
      <c r="J111" s="369"/>
      <c r="K111" s="369"/>
      <c r="L111" s="369"/>
      <c r="M111" s="369"/>
      <c r="N111" s="369"/>
      <c r="JE111" s="369"/>
    </row>
    <row r="112" spans="1:265" ht="13.8">
      <c r="A112" s="369"/>
      <c r="B112" s="369"/>
      <c r="C112" s="369"/>
      <c r="D112" s="369"/>
      <c r="E112" s="186"/>
      <c r="F112" s="186"/>
      <c r="G112" s="186"/>
      <c r="H112" s="376"/>
      <c r="I112" s="186"/>
      <c r="J112" s="369"/>
      <c r="K112" s="369"/>
      <c r="L112" s="369"/>
      <c r="M112" s="369"/>
      <c r="N112" s="369"/>
      <c r="JE112" s="369"/>
    </row>
    <row r="113" spans="1:265" ht="13.8">
      <c r="A113" s="369"/>
      <c r="B113" s="369"/>
      <c r="C113" s="369"/>
      <c r="D113" s="369"/>
      <c r="E113" s="186"/>
      <c r="F113" s="186"/>
      <c r="G113" s="186"/>
      <c r="H113" s="376"/>
      <c r="I113" s="186"/>
      <c r="J113" s="369"/>
      <c r="K113" s="369"/>
      <c r="L113" s="369"/>
      <c r="M113" s="369"/>
      <c r="N113" s="369"/>
      <c r="JE113" s="369"/>
    </row>
    <row r="114" spans="1:265" ht="13.8">
      <c r="E114" s="188"/>
      <c r="F114" s="188"/>
      <c r="G114" s="188"/>
      <c r="H114" s="87"/>
      <c r="I114" s="188"/>
      <c r="JE114" s="369"/>
    </row>
    <row r="115" spans="1:265" ht="13.8">
      <c r="E115" s="188"/>
      <c r="F115" s="188"/>
      <c r="G115" s="188"/>
      <c r="H115" s="188"/>
      <c r="I115" s="188"/>
      <c r="JE115" s="369"/>
    </row>
    <row r="116" spans="1:265" ht="13.8">
      <c r="E116" s="188"/>
      <c r="F116" s="188"/>
      <c r="G116" s="188"/>
      <c r="H116" s="188"/>
      <c r="I116" s="188"/>
      <c r="JE116" s="369"/>
    </row>
    <row r="117" spans="1:265" ht="13.8">
      <c r="E117" s="188"/>
      <c r="F117" s="188"/>
      <c r="G117" s="188"/>
      <c r="H117" s="188"/>
      <c r="I117" s="188"/>
      <c r="JE117" s="369"/>
    </row>
    <row r="118" spans="1:265" ht="13.8">
      <c r="E118" s="188"/>
      <c r="F118" s="188"/>
      <c r="G118" s="188"/>
      <c r="H118" s="188"/>
      <c r="I118" s="188"/>
      <c r="JE118" s="369"/>
    </row>
    <row r="119" spans="1:265" ht="13.8">
      <c r="E119" s="188"/>
      <c r="F119" s="188"/>
      <c r="G119" s="188"/>
      <c r="H119" s="188"/>
      <c r="I119" s="188"/>
      <c r="JE119" s="369"/>
    </row>
    <row r="120" spans="1:265" ht="13.8">
      <c r="E120" s="188"/>
      <c r="F120" s="188"/>
      <c r="G120" s="188"/>
      <c r="H120" s="188"/>
      <c r="I120" s="188"/>
      <c r="JE120" s="369"/>
    </row>
    <row r="121" spans="1:265" ht="13.8">
      <c r="E121" s="188"/>
      <c r="F121" s="188"/>
      <c r="G121" s="188"/>
      <c r="H121" s="188"/>
      <c r="I121" s="188"/>
      <c r="JE121" s="369"/>
    </row>
    <row r="122" spans="1:265" ht="13.8">
      <c r="E122" s="188"/>
      <c r="F122" s="188"/>
      <c r="G122" s="188"/>
      <c r="H122" s="188"/>
      <c r="I122" s="188"/>
      <c r="JE122" s="369"/>
    </row>
    <row r="123" spans="1:265" ht="13.8">
      <c r="E123" s="188"/>
      <c r="F123" s="188"/>
      <c r="G123" s="188"/>
      <c r="H123" s="188"/>
      <c r="I123" s="188"/>
      <c r="JE123" s="369"/>
    </row>
    <row r="124" spans="1:265" ht="13.95" customHeight="1">
      <c r="E124" s="188"/>
      <c r="F124" s="188"/>
      <c r="G124" s="188"/>
      <c r="H124" s="188"/>
      <c r="I124" s="188"/>
      <c r="JE124" s="369"/>
    </row>
    <row r="125" spans="1:265" ht="13.95" customHeight="1">
      <c r="E125" s="188"/>
      <c r="F125" s="188"/>
      <c r="G125" s="188"/>
      <c r="H125" s="188"/>
      <c r="I125" s="188"/>
      <c r="JE125" s="369"/>
    </row>
    <row r="126" spans="1:265" ht="13.95" customHeight="1">
      <c r="E126" s="188"/>
      <c r="F126" s="188"/>
      <c r="G126" s="188"/>
      <c r="H126" s="188"/>
      <c r="I126" s="188"/>
    </row>
    <row r="127" spans="1:265" ht="13.8">
      <c r="E127" s="188"/>
      <c r="F127" s="188"/>
      <c r="G127" s="188"/>
      <c r="H127" s="188"/>
      <c r="I127" s="188"/>
    </row>
    <row r="128" spans="1:265"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c r="E151" s="188"/>
      <c r="F151" s="188"/>
      <c r="G151" s="188"/>
      <c r="H151" s="188"/>
      <c r="I151" s="188"/>
    </row>
    <row r="152" spans="5:9" ht="13.8">
      <c r="E152" s="188"/>
      <c r="F152" s="188"/>
      <c r="G152" s="188"/>
      <c r="H152" s="188"/>
      <c r="I152" s="188"/>
    </row>
    <row r="153" spans="5:9" ht="13.8">
      <c r="E153" s="188"/>
      <c r="F153" s="188"/>
      <c r="G153" s="188"/>
      <c r="H153" s="188"/>
      <c r="I153" s="188"/>
    </row>
    <row r="154" spans="5:9" ht="13.8">
      <c r="E154" s="188"/>
      <c r="F154" s="188"/>
      <c r="G154" s="188"/>
      <c r="H154" s="188"/>
      <c r="I154" s="188"/>
    </row>
    <row r="155" spans="5:9" ht="13.8">
      <c r="E155" s="188"/>
      <c r="F155" s="188"/>
      <c r="G155" s="188"/>
      <c r="H155" s="188"/>
      <c r="I155" s="188"/>
    </row>
    <row r="156" spans="5:9" ht="13.8">
      <c r="E156" s="188"/>
      <c r="F156" s="188"/>
      <c r="G156" s="188"/>
      <c r="H156" s="188"/>
      <c r="I156" s="188"/>
    </row>
    <row r="157" spans="5:9" ht="13.8">
      <c r="E157" s="188"/>
      <c r="F157" s="188"/>
      <c r="G157" s="188"/>
      <c r="H157" s="188"/>
      <c r="I157" s="188"/>
    </row>
    <row r="158" spans="5:9" ht="13.8">
      <c r="E158" s="188"/>
      <c r="F158" s="188"/>
      <c r="G158" s="188"/>
      <c r="H158" s="188"/>
      <c r="I158" s="188"/>
    </row>
    <row r="159" spans="5:9" ht="13.8">
      <c r="E159" s="188"/>
      <c r="F159" s="188"/>
      <c r="G159" s="188"/>
      <c r="H159" s="188"/>
      <c r="I159" s="188"/>
    </row>
    <row r="160" spans="5:9" ht="13.8">
      <c r="E160" s="188"/>
      <c r="F160" s="188"/>
      <c r="G160" s="188"/>
      <c r="H160" s="188"/>
      <c r="I160" s="188"/>
    </row>
    <row r="161" spans="5:9" ht="13.8">
      <c r="E161" s="188"/>
      <c r="F161" s="188"/>
      <c r="G161" s="188"/>
      <c r="H161" s="188"/>
      <c r="I161" s="188"/>
    </row>
    <row r="162" spans="5:9" ht="13.8">
      <c r="E162" s="188"/>
      <c r="F162" s="188"/>
      <c r="G162" s="188"/>
      <c r="H162" s="188"/>
      <c r="I162" s="188"/>
    </row>
    <row r="163" spans="5:9" ht="13.8">
      <c r="E163" s="188"/>
      <c r="F163" s="188"/>
      <c r="G163" s="188"/>
      <c r="H163" s="188"/>
      <c r="I163" s="188"/>
    </row>
    <row r="164" spans="5:9" ht="13.8">
      <c r="E164" s="188"/>
      <c r="F164" s="188"/>
      <c r="G164" s="188"/>
      <c r="H164" s="188"/>
      <c r="I164" s="188"/>
    </row>
    <row r="165" spans="5:9" ht="13.8">
      <c r="E165" s="188"/>
      <c r="F165" s="188"/>
      <c r="G165" s="188"/>
      <c r="H165" s="188"/>
      <c r="I165" s="188"/>
    </row>
    <row r="166" spans="5:9" ht="13.8">
      <c r="E166" s="188"/>
      <c r="F166" s="188"/>
      <c r="G166" s="188"/>
      <c r="H166" s="188"/>
      <c r="I166" s="188"/>
    </row>
    <row r="167" spans="5:9" ht="13.8"/>
    <row r="168" spans="5:9" ht="13.8"/>
    <row r="169" spans="5:9" ht="13.8"/>
    <row r="170" spans="5:9" ht="13.8"/>
    <row r="171" spans="5:9" ht="13.8"/>
    <row r="172" spans="5:9" ht="13.8"/>
    <row r="173" spans="5:9" ht="13.8"/>
    <row r="174" spans="5:9" ht="13.8"/>
    <row r="175" spans="5:9" ht="13.8"/>
    <row r="176" spans="5:9" ht="13.8"/>
    <row r="177" ht="13.8"/>
    <row r="178" ht="13.8"/>
    <row r="179" ht="13.8"/>
    <row r="180" ht="13.8"/>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3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778" t="s">
        <v>63</v>
      </c>
      <c r="B1" s="778"/>
      <c r="C1" s="778"/>
      <c r="D1" s="778"/>
      <c r="E1" s="778"/>
      <c r="F1" s="778"/>
      <c r="G1" s="778"/>
      <c r="H1" s="778"/>
    </row>
    <row r="2" spans="1:1294" s="158" customFormat="1" ht="21.6" customHeight="1">
      <c r="A2" s="779" t="s">
        <v>115</v>
      </c>
      <c r="B2" s="779"/>
      <c r="C2" s="779"/>
      <c r="D2" s="779"/>
      <c r="E2" s="779"/>
      <c r="F2" s="779"/>
      <c r="G2" s="779"/>
      <c r="H2" s="779"/>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780" t="s">
        <v>19</v>
      </c>
      <c r="C5" s="72" t="s">
        <v>70</v>
      </c>
      <c r="D5" s="789"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781"/>
      <c r="C6" s="72" t="s">
        <v>71</v>
      </c>
      <c r="D6" s="790"/>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781"/>
      <c r="C7" s="72" t="s">
        <v>72</v>
      </c>
      <c r="D7" s="790"/>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781"/>
      <c r="C8" s="135" t="s">
        <v>73</v>
      </c>
      <c r="D8" s="790"/>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781"/>
      <c r="C9" s="141" t="s">
        <v>67</v>
      </c>
      <c r="D9" s="790"/>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781"/>
      <c r="C10" s="141" t="s">
        <v>68</v>
      </c>
      <c r="D10" s="790"/>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781"/>
      <c r="C11" s="190" t="s">
        <v>90</v>
      </c>
      <c r="D11" s="790"/>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781"/>
      <c r="C12" s="190" t="s">
        <v>130</v>
      </c>
      <c r="D12" s="790"/>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782"/>
      <c r="C13" s="72" t="s">
        <v>69</v>
      </c>
      <c r="D13" s="791"/>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783" t="s">
        <v>11</v>
      </c>
      <c r="C14" s="72" t="s">
        <v>70</v>
      </c>
      <c r="D14" s="792"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784"/>
      <c r="C15" s="72" t="s">
        <v>71</v>
      </c>
      <c r="D15" s="793"/>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784"/>
      <c r="C16" s="72" t="s">
        <v>72</v>
      </c>
      <c r="D16" s="793"/>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784"/>
      <c r="C17" s="136" t="s">
        <v>73</v>
      </c>
      <c r="D17" s="793"/>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784"/>
      <c r="C18" s="142" t="s">
        <v>67</v>
      </c>
      <c r="D18" s="793"/>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784"/>
      <c r="C19" s="191" t="s">
        <v>68</v>
      </c>
      <c r="D19" s="793"/>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784"/>
      <c r="C20" s="191" t="s">
        <v>90</v>
      </c>
      <c r="D20" s="793"/>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784"/>
      <c r="C21" s="190" t="s">
        <v>130</v>
      </c>
      <c r="D21" s="793"/>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784"/>
      <c r="C22" s="73" t="s">
        <v>69</v>
      </c>
      <c r="D22" s="794"/>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785" t="s">
        <v>20</v>
      </c>
      <c r="C23" s="72" t="s">
        <v>70</v>
      </c>
      <c r="D23" s="789"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785"/>
      <c r="C24" s="74" t="s">
        <v>71</v>
      </c>
      <c r="D24" s="795"/>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785"/>
      <c r="C25" s="74" t="s">
        <v>72</v>
      </c>
      <c r="D25" s="795"/>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786"/>
      <c r="C26" s="136" t="s">
        <v>73</v>
      </c>
      <c r="D26" s="795"/>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787"/>
      <c r="C27" s="142" t="s">
        <v>67</v>
      </c>
      <c r="D27" s="795"/>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788"/>
      <c r="C28" s="191" t="s">
        <v>68</v>
      </c>
      <c r="D28" s="795"/>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788"/>
      <c r="C29" s="191" t="s">
        <v>90</v>
      </c>
      <c r="D29" s="795"/>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788"/>
      <c r="C30" s="190" t="s">
        <v>130</v>
      </c>
      <c r="D30" s="795"/>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785"/>
      <c r="C31" s="119" t="s">
        <v>69</v>
      </c>
      <c r="D31" s="796"/>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777" t="s">
        <v>93</v>
      </c>
      <c r="C35" s="777"/>
      <c r="D35" s="777"/>
      <c r="E35" s="777"/>
      <c r="F35" s="777"/>
      <c r="G35" s="777"/>
      <c r="H35" s="777"/>
      <c r="I35" s="777"/>
      <c r="J35" s="777"/>
      <c r="K35" s="777"/>
      <c r="L35" s="777"/>
      <c r="M35" s="777"/>
    </row>
    <row r="36" spans="2:13" s="45" customFormat="1" ht="14.55" customHeight="1">
      <c r="B36" s="777"/>
      <c r="C36" s="777"/>
      <c r="D36" s="777"/>
      <c r="E36" s="777"/>
      <c r="F36" s="777"/>
      <c r="G36" s="777"/>
      <c r="H36" s="777"/>
      <c r="I36" s="777"/>
      <c r="J36" s="777"/>
      <c r="K36" s="777"/>
      <c r="L36" s="777"/>
      <c r="M36" s="777"/>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ตั้งเบิกคอมฯ  CN</vt:lpstr>
      <vt:lpstr>สรุปยอดเบิก CN</vt:lpstr>
      <vt:lpstr>คอมฯ CBN</vt:lpstr>
      <vt:lpstr>สรุปยอดเบิก CBN</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2025-02-17T06:41:23Z</cp:lastPrinted>
  <dcterms:created xsi:type="dcterms:W3CDTF">2022-04-03T17:11:16Z</dcterms:created>
  <dcterms:modified xsi:type="dcterms:W3CDTF">2025-02-17T06:42:01Z</dcterms:modified>
</cp:coreProperties>
</file>